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codeName="ThisWorkbook" defaultThemeVersion="124226"/>
  <bookViews>
    <workbookView xWindow="480" yWindow="120" windowWidth="11355" windowHeight="9150" activeTab="1"/>
  </bookViews>
  <sheets>
    <sheet name="Instructions" sheetId="8" r:id="rId1"/>
    <sheet name="Details" sheetId="7" r:id="rId2"/>
    <sheet name="Form 16" sheetId="4" r:id="rId3"/>
    <sheet name="Form 16 A.." sheetId="5" r:id="rId4"/>
  </sheets>
  <externalReferences>
    <externalReference r:id="rId5"/>
  </externalReferences>
  <definedNames>
    <definedName name="bp">[1]dd_data!$U$3:$AS$31</definedName>
    <definedName name="_xlnm.Print_Area" localSheetId="1">Details!$A$1:$J$34</definedName>
    <definedName name="_xlnm.Print_Area" localSheetId="2">'Form 16'!$A$1:$T$78</definedName>
    <definedName name="_xlnm.Print_Area" localSheetId="3">'Form 16 A..'!$A$1:$H$64</definedName>
    <definedName name="ps">[1]dd_data!$U$2:$AS$2</definedName>
  </definedNames>
  <calcPr calcId="144525"/>
</workbook>
</file>

<file path=xl/calcChain.xml><?xml version="1.0" encoding="utf-8"?>
<calcChain xmlns="http://schemas.openxmlformats.org/spreadsheetml/2006/main">
  <c r="G9" i="4" l="1"/>
  <c r="G10" i="4" s="1"/>
  <c r="K1" i="7"/>
  <c r="K2" i="7" s="1"/>
  <c r="P53" i="4"/>
  <c r="C15" i="7"/>
  <c r="K19" i="7"/>
  <c r="K18" i="7"/>
  <c r="K29" i="7"/>
  <c r="K28" i="7"/>
  <c r="K5" i="7"/>
  <c r="K6" i="7" s="1"/>
  <c r="K7" i="7" s="1"/>
  <c r="K8" i="7" s="1"/>
  <c r="K9" i="7" s="1"/>
  <c r="K10" i="7" s="1"/>
  <c r="K11" i="7" s="1"/>
  <c r="K12" i="7" s="1"/>
  <c r="T35" i="4"/>
  <c r="J20" i="4"/>
  <c r="J19" i="4"/>
  <c r="J18" i="4"/>
  <c r="J17" i="4"/>
  <c r="J16" i="4"/>
  <c r="J15" i="4"/>
  <c r="J14" i="4"/>
  <c r="J13" i="4"/>
  <c r="J12" i="4"/>
  <c r="J11" i="4"/>
  <c r="J10" i="4"/>
  <c r="J9" i="4"/>
  <c r="G9" i="5"/>
  <c r="H9" i="5"/>
  <c r="D5" i="4"/>
  <c r="F9" i="5" s="1"/>
  <c r="K16" i="7"/>
  <c r="T22" i="4" s="1"/>
  <c r="K15" i="7"/>
  <c r="T21" i="4" s="1"/>
  <c r="K13" i="7"/>
  <c r="K3" i="7" l="1"/>
  <c r="K4" i="7" s="1"/>
  <c r="M2" i="7"/>
  <c r="S4" i="4"/>
  <c r="T4" i="4"/>
  <c r="S5" i="4" s="1"/>
  <c r="I9" i="4" s="1"/>
  <c r="K27" i="7"/>
  <c r="K26" i="7"/>
  <c r="K24" i="7"/>
  <c r="K25" i="7"/>
  <c r="K23" i="7"/>
  <c r="K22" i="7"/>
  <c r="K21" i="7"/>
  <c r="K20" i="7"/>
  <c r="D23" i="4"/>
  <c r="S57" i="4"/>
  <c r="P57" i="4" s="1"/>
  <c r="P58" i="4"/>
  <c r="R58" i="4"/>
  <c r="O20" i="4"/>
  <c r="K3" i="4"/>
  <c r="M13" i="7" l="1"/>
  <c r="P47" i="4"/>
  <c r="S58" i="4"/>
  <c r="P50" i="4"/>
  <c r="S50" i="4"/>
  <c r="S49" i="4"/>
  <c r="P49" i="4" s="1"/>
  <c r="S48" i="4"/>
  <c r="P48" i="4" s="1"/>
  <c r="P46" i="4"/>
  <c r="T8" i="4"/>
  <c r="Q17" i="4" l="1"/>
  <c r="Q16" i="4"/>
  <c r="Q15" i="4"/>
  <c r="Q14" i="4"/>
  <c r="Q13" i="4"/>
  <c r="Q12" i="4"/>
  <c r="Q11" i="4"/>
  <c r="Q10" i="4"/>
  <c r="Q9" i="4"/>
  <c r="Q18" i="4"/>
  <c r="M12" i="7"/>
  <c r="M10" i="7"/>
  <c r="M9" i="7"/>
  <c r="M8" i="7"/>
  <c r="M7" i="7"/>
  <c r="M6" i="7"/>
  <c r="M5" i="7"/>
  <c r="M4" i="7"/>
  <c r="M3" i="7"/>
  <c r="Q19" i="4"/>
  <c r="Q20" i="4" s="1"/>
  <c r="P54" i="4" l="1"/>
  <c r="P52" i="4"/>
  <c r="R52" i="4" s="1"/>
  <c r="H33" i="5" s="1"/>
  <c r="H39" i="5"/>
  <c r="R50" i="4"/>
  <c r="H31" i="5" s="1"/>
  <c r="R54" i="4"/>
  <c r="H35" i="5" s="1"/>
  <c r="R48" i="4"/>
  <c r="H29" i="5" s="1"/>
  <c r="R47" i="4"/>
  <c r="H28" i="5" s="1"/>
  <c r="R49" i="4"/>
  <c r="H30" i="5" s="1"/>
  <c r="S60" i="4"/>
  <c r="Q61" i="4" s="1"/>
  <c r="S61" i="4"/>
  <c r="R35" i="4"/>
  <c r="H17" i="5" s="1"/>
  <c r="H20" i="5" s="1"/>
  <c r="H6" i="5"/>
  <c r="D58" i="5"/>
  <c r="D57" i="5"/>
  <c r="D56" i="5"/>
  <c r="D55" i="5"/>
  <c r="D6" i="4" l="1"/>
  <c r="O3" i="4"/>
  <c r="P21" i="4"/>
  <c r="R20" i="4"/>
  <c r="R19" i="4"/>
  <c r="R18" i="4"/>
  <c r="R17" i="4"/>
  <c r="R16" i="4"/>
  <c r="R15" i="4"/>
  <c r="R14" i="4"/>
  <c r="R13" i="4"/>
  <c r="R12" i="4"/>
  <c r="R27" i="4" s="1"/>
  <c r="R70" i="4" s="1"/>
  <c r="H51" i="5" s="1"/>
  <c r="R11" i="4"/>
  <c r="R10" i="4"/>
  <c r="R9" i="4"/>
  <c r="O19" i="4"/>
  <c r="O18" i="4"/>
  <c r="O17" i="4"/>
  <c r="O16" i="4"/>
  <c r="O15" i="4"/>
  <c r="O14" i="4"/>
  <c r="O13" i="4"/>
  <c r="O12" i="4"/>
  <c r="O11" i="4"/>
  <c r="O10" i="4"/>
  <c r="O27" i="4" s="1"/>
  <c r="O9" i="4"/>
  <c r="N20" i="4"/>
  <c r="N19" i="4"/>
  <c r="N18" i="4"/>
  <c r="N17" i="4"/>
  <c r="N16" i="4"/>
  <c r="N15" i="4"/>
  <c r="N14" i="4"/>
  <c r="N13" i="4"/>
  <c r="N12" i="4"/>
  <c r="N11" i="4"/>
  <c r="N10" i="4"/>
  <c r="N9" i="4"/>
  <c r="M20" i="4"/>
  <c r="M19" i="4"/>
  <c r="M18" i="4"/>
  <c r="M17" i="4"/>
  <c r="M16" i="4"/>
  <c r="M15" i="4"/>
  <c r="M14" i="4"/>
  <c r="M13" i="4"/>
  <c r="M12" i="4"/>
  <c r="M11" i="4"/>
  <c r="M10" i="4"/>
  <c r="M9" i="4"/>
  <c r="L9" i="4"/>
  <c r="T17" i="4"/>
  <c r="K26" i="4"/>
  <c r="K25" i="4"/>
  <c r="F22" i="4"/>
  <c r="F21" i="4"/>
  <c r="G11" i="4"/>
  <c r="D27" i="4"/>
  <c r="H49" i="5"/>
  <c r="S44" i="4"/>
  <c r="L17" i="7"/>
  <c r="P4" i="7"/>
  <c r="Q4" i="7" s="1"/>
  <c r="R4" i="7" s="1"/>
  <c r="S4" i="7" s="1"/>
  <c r="T4" i="7" s="1"/>
  <c r="U4" i="7" s="1"/>
  <c r="V4" i="7" s="1"/>
  <c r="W4" i="7" s="1"/>
  <c r="X4" i="7" s="1"/>
  <c r="Y4" i="7" s="1"/>
  <c r="Z4" i="7" s="1"/>
  <c r="AA4" i="7" s="1"/>
  <c r="AB4" i="7" s="1"/>
  <c r="AC4" i="7" s="1"/>
  <c r="AD4" i="7" s="1"/>
  <c r="AE4" i="7" s="1"/>
  <c r="AF4" i="7" s="1"/>
  <c r="AG4" i="7" s="1"/>
  <c r="AH4" i="7" s="1"/>
  <c r="AI4" i="7" s="1"/>
  <c r="AJ4" i="7" s="1"/>
  <c r="AK4" i="7" s="1"/>
  <c r="AL4" i="7" s="1"/>
  <c r="AM4" i="7" s="1"/>
  <c r="AN4" i="7" s="1"/>
  <c r="AO4" i="7" s="1"/>
  <c r="AP4" i="7" s="1"/>
  <c r="AQ4" i="7" s="1"/>
  <c r="AR4" i="7" s="1"/>
  <c r="AS4" i="7" s="1"/>
  <c r="AT4" i="7" s="1"/>
  <c r="AU4" i="7" s="1"/>
  <c r="AV4" i="7" s="1"/>
  <c r="AW4" i="7" s="1"/>
  <c r="AX4" i="7" s="1"/>
  <c r="AY4" i="7" s="1"/>
  <c r="AZ4" i="7" s="1"/>
  <c r="BA4" i="7" s="1"/>
  <c r="BB4" i="7" s="1"/>
  <c r="BC4" i="7" s="1"/>
  <c r="BD4" i="7" s="1"/>
  <c r="BE4" i="7" s="1"/>
  <c r="BF4" i="7" s="1"/>
  <c r="BG4" i="7" s="1"/>
  <c r="BH4" i="7" s="1"/>
  <c r="BI4" i="7" s="1"/>
  <c r="BJ4" i="7" s="1"/>
  <c r="BK4" i="7" s="1"/>
  <c r="BL4" i="7" s="1"/>
  <c r="BM4" i="7" s="1"/>
  <c r="BN4" i="7" s="1"/>
  <c r="BO4" i="7" s="1"/>
  <c r="BP4" i="7" s="1"/>
  <c r="BQ4" i="7" s="1"/>
  <c r="BR4" i="7" s="1"/>
  <c r="BS4" i="7" s="1"/>
  <c r="BT4" i="7" s="1"/>
  <c r="BU4" i="7" s="1"/>
  <c r="BV4" i="7" s="1"/>
  <c r="BW4" i="7" s="1"/>
  <c r="BX4" i="7" s="1"/>
  <c r="BY4" i="7" s="1"/>
  <c r="BZ4" i="7" s="1"/>
  <c r="CA4" i="7" s="1"/>
  <c r="CB4" i="7" s="1"/>
  <c r="CC4" i="7" s="1"/>
  <c r="CD4" i="7" s="1"/>
  <c r="CE4" i="7" s="1"/>
  <c r="CF4" i="7" s="1"/>
  <c r="CG4" i="7" s="1"/>
  <c r="CH4" i="7" s="1"/>
  <c r="CI4" i="7" s="1"/>
  <c r="CJ4" i="7" s="1"/>
  <c r="CK4" i="7" s="1"/>
  <c r="CL4" i="7" s="1"/>
  <c r="CM4" i="7" s="1"/>
  <c r="CN4" i="7" s="1"/>
  <c r="CO4" i="7" s="1"/>
  <c r="CP4" i="7" s="1"/>
  <c r="CQ4" i="7" s="1"/>
  <c r="CR4" i="7" s="1"/>
  <c r="CS4" i="7" s="1"/>
  <c r="CT4" i="7" s="1"/>
  <c r="CU4" i="7" s="1"/>
  <c r="CV4" i="7" s="1"/>
  <c r="CW4" i="7" s="1"/>
  <c r="CX4" i="7" s="1"/>
  <c r="CY4" i="7" s="1"/>
  <c r="CZ4" i="7" s="1"/>
  <c r="DA4" i="7" s="1"/>
  <c r="DB4" i="7" s="1"/>
  <c r="R2" i="7"/>
  <c r="S2" i="7"/>
  <c r="T2" i="7" s="1"/>
  <c r="U2" i="7" s="1"/>
  <c r="V2" i="7" s="1"/>
  <c r="R29" i="4"/>
  <c r="N27" i="4" l="1"/>
  <c r="E39" i="4" s="1"/>
  <c r="M27" i="4"/>
  <c r="I39" i="4" s="1"/>
  <c r="G12" i="4"/>
  <c r="H26" i="5"/>
  <c r="T18" i="4"/>
  <c r="G39" i="4"/>
  <c r="Q27" i="4"/>
  <c r="I10" i="4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L10" i="4"/>
  <c r="L11" i="4" s="1"/>
  <c r="L12" i="4" s="1"/>
  <c r="L13" i="4" s="1"/>
  <c r="L14" i="4" s="1"/>
  <c r="L15" i="4" s="1"/>
  <c r="L16" i="4" s="1"/>
  <c r="L17" i="4" s="1"/>
  <c r="L18" i="4" s="1"/>
  <c r="L19" i="4" s="1"/>
  <c r="L20" i="4" s="1"/>
  <c r="S32" i="4"/>
  <c r="D78" i="4"/>
  <c r="D64" i="5"/>
  <c r="G13" i="4" l="1"/>
  <c r="G14" i="4" s="1"/>
  <c r="P9" i="4"/>
  <c r="K39" i="4"/>
  <c r="M42" i="4" s="1"/>
  <c r="L27" i="4"/>
  <c r="Q34" i="4" s="1"/>
  <c r="I27" i="4"/>
  <c r="L38" i="4"/>
  <c r="C3" i="4"/>
  <c r="N78" i="4"/>
  <c r="N77" i="4"/>
  <c r="G15" i="4" l="1"/>
  <c r="P42" i="4"/>
  <c r="M57" i="4"/>
  <c r="R57" i="4" s="1"/>
  <c r="H38" i="5" s="1"/>
  <c r="E11" i="5"/>
  <c r="G16" i="4" l="1"/>
  <c r="H24" i="5"/>
  <c r="W2" i="7"/>
  <c r="X2" i="7" s="1"/>
  <c r="Y2" i="7" s="1"/>
  <c r="Z2" i="7" s="1"/>
  <c r="AA2" i="7" s="1"/>
  <c r="AB2" i="7" s="1"/>
  <c r="AC2" i="7" s="1"/>
  <c r="AD2" i="7" s="1"/>
  <c r="AE2" i="7" s="1"/>
  <c r="AF2" i="7" s="1"/>
  <c r="AG2" i="7" s="1"/>
  <c r="AH2" i="7" s="1"/>
  <c r="AI2" i="7" s="1"/>
  <c r="AJ2" i="7" s="1"/>
  <c r="AK2" i="7" s="1"/>
  <c r="AL2" i="7" s="1"/>
  <c r="AM2" i="7" s="1"/>
  <c r="AN2" i="7" s="1"/>
  <c r="AO2" i="7" s="1"/>
  <c r="AP2" i="7" s="1"/>
  <c r="AQ2" i="7" s="1"/>
  <c r="AR2" i="7" s="1"/>
  <c r="AS2" i="7" s="1"/>
  <c r="AT2" i="7" s="1"/>
  <c r="AU2" i="7" s="1"/>
  <c r="AV2" i="7" s="1"/>
  <c r="AW2" i="7" s="1"/>
  <c r="AX2" i="7" s="1"/>
  <c r="AY2" i="7" s="1"/>
  <c r="AZ2" i="7" s="1"/>
  <c r="BA2" i="7" s="1"/>
  <c r="BB2" i="7" s="1"/>
  <c r="BC2" i="7" s="1"/>
  <c r="BD2" i="7" s="1"/>
  <c r="BE2" i="7" s="1"/>
  <c r="BF2" i="7" s="1"/>
  <c r="BG2" i="7" s="1"/>
  <c r="BH2" i="7" s="1"/>
  <c r="BI2" i="7" s="1"/>
  <c r="BJ2" i="7" s="1"/>
  <c r="BK2" i="7" s="1"/>
  <c r="BL2" i="7" s="1"/>
  <c r="BM2" i="7" s="1"/>
  <c r="BN2" i="7" s="1"/>
  <c r="BO2" i="7" s="1"/>
  <c r="BP2" i="7" s="1"/>
  <c r="BQ2" i="7" s="1"/>
  <c r="BR2" i="7" s="1"/>
  <c r="BS2" i="7" s="1"/>
  <c r="BT2" i="7" s="1"/>
  <c r="BU2" i="7" s="1"/>
  <c r="BV2" i="7" s="1"/>
  <c r="BW2" i="7" s="1"/>
  <c r="BX2" i="7" s="1"/>
  <c r="BY2" i="7" s="1"/>
  <c r="BZ2" i="7" s="1"/>
  <c r="CA2" i="7" s="1"/>
  <c r="CB2" i="7" s="1"/>
  <c r="CC2" i="7" s="1"/>
  <c r="CD2" i="7" s="1"/>
  <c r="CE2" i="7" s="1"/>
  <c r="CF2" i="7" s="1"/>
  <c r="CG2" i="7" s="1"/>
  <c r="CH2" i="7" s="1"/>
  <c r="CI2" i="7" s="1"/>
  <c r="CJ2" i="7" s="1"/>
  <c r="CK2" i="7" s="1"/>
  <c r="CL2" i="7" s="1"/>
  <c r="CM2" i="7" s="1"/>
  <c r="CN2" i="7" s="1"/>
  <c r="CO2" i="7" s="1"/>
  <c r="G17" i="4" l="1"/>
  <c r="T43" i="4"/>
  <c r="B6" i="5"/>
  <c r="G64" i="5" s="1"/>
  <c r="B5" i="5"/>
  <c r="F64" i="5" s="1"/>
  <c r="O5" i="4"/>
  <c r="O4" i="4"/>
  <c r="J5" i="4"/>
  <c r="D4" i="4"/>
  <c r="H78" i="4"/>
  <c r="H77" i="4"/>
  <c r="G18" i="4" l="1"/>
  <c r="G19" i="4" s="1"/>
  <c r="F6" i="5"/>
  <c r="E9" i="5"/>
  <c r="D9" i="5"/>
  <c r="E7" i="5"/>
  <c r="B7" i="5" s="1"/>
  <c r="E5" i="5"/>
  <c r="L16" i="7" l="1"/>
  <c r="L15" i="7" s="1"/>
  <c r="G20" i="4" l="1"/>
  <c r="G27" i="4"/>
  <c r="K14" i="7"/>
  <c r="L4" i="7" l="1"/>
  <c r="C11" i="4" s="1"/>
  <c r="M11" i="7"/>
  <c r="L13" i="7"/>
  <c r="C20" i="4" s="1"/>
  <c r="L12" i="7"/>
  <c r="C19" i="4" s="1"/>
  <c r="L11" i="7"/>
  <c r="C18" i="4" s="1"/>
  <c r="F18" i="4" s="1"/>
  <c r="L10" i="7"/>
  <c r="C17" i="4" s="1"/>
  <c r="L9" i="7"/>
  <c r="C16" i="4" s="1"/>
  <c r="L8" i="7"/>
  <c r="C15" i="4"/>
  <c r="L7" i="7"/>
  <c r="C14" i="4" s="1"/>
  <c r="F14" i="4" s="1"/>
  <c r="L6" i="7"/>
  <c r="C13" i="4" s="1"/>
  <c r="T24" i="4" s="1"/>
  <c r="L5" i="7"/>
  <c r="C12" i="4" s="1"/>
  <c r="E12" i="4" s="1"/>
  <c r="L2" i="7"/>
  <c r="L3" i="7"/>
  <c r="F12" i="4"/>
  <c r="F13" i="4"/>
  <c r="F15" i="4"/>
  <c r="F16" i="4"/>
  <c r="E16" i="4"/>
  <c r="F19" i="4"/>
  <c r="E19" i="4"/>
  <c r="F20" i="4"/>
  <c r="E20" i="4"/>
  <c r="H14" i="4"/>
  <c r="H13" i="4"/>
  <c r="H12" i="4"/>
  <c r="L14" i="7"/>
  <c r="P22" i="4"/>
  <c r="P12" i="4"/>
  <c r="P14" i="4"/>
  <c r="P16" i="4"/>
  <c r="P17" i="4"/>
  <c r="P18" i="4"/>
  <c r="P19" i="4"/>
  <c r="P20" i="4"/>
  <c r="P10" i="4"/>
  <c r="C23" i="4"/>
  <c r="P15" i="4"/>
  <c r="E11" i="4" l="1"/>
  <c r="F11" i="4"/>
  <c r="E18" i="4"/>
  <c r="E15" i="4"/>
  <c r="T26" i="4"/>
  <c r="T27" i="4"/>
  <c r="E22" i="4" s="1"/>
  <c r="K22" i="4" s="1"/>
  <c r="E14" i="4"/>
  <c r="T25" i="4"/>
  <c r="E13" i="4"/>
  <c r="K13" i="4" s="1"/>
  <c r="F17" i="4"/>
  <c r="K17" i="4" s="1"/>
  <c r="E17" i="4"/>
  <c r="C10" i="4"/>
  <c r="E10" i="4" s="1"/>
  <c r="H15" i="4"/>
  <c r="H16" i="4"/>
  <c r="K16" i="4" s="1"/>
  <c r="H17" i="4"/>
  <c r="H18" i="4"/>
  <c r="H19" i="4"/>
  <c r="H20" i="4"/>
  <c r="K20" i="4" s="1"/>
  <c r="C9" i="4"/>
  <c r="E24" i="4"/>
  <c r="K24" i="4" s="1"/>
  <c r="K12" i="4"/>
  <c r="K14" i="4"/>
  <c r="S53" i="4" s="1"/>
  <c r="K15" i="4"/>
  <c r="F23" i="4"/>
  <c r="K18" i="4"/>
  <c r="K19" i="4"/>
  <c r="P13" i="4"/>
  <c r="P11" i="4"/>
  <c r="P27" i="4"/>
  <c r="M45" i="4" s="1"/>
  <c r="P43" i="4" s="1"/>
  <c r="R42" i="4" s="1"/>
  <c r="H23" i="5" s="1"/>
  <c r="E23" i="4"/>
  <c r="C27" i="4"/>
  <c r="H13" i="5" s="1"/>
  <c r="J23" i="4"/>
  <c r="J27" i="4" s="1"/>
  <c r="R63" i="4"/>
  <c r="E9" i="4" l="1"/>
  <c r="T20" i="4"/>
  <c r="T23" i="4" s="1"/>
  <c r="E21" i="4" s="1"/>
  <c r="K23" i="4"/>
  <c r="P33" i="4"/>
  <c r="F9" i="4"/>
  <c r="H33" i="4" s="1"/>
  <c r="T34" i="4" s="1"/>
  <c r="T36" i="4" s="1"/>
  <c r="T37" i="4" s="1"/>
  <c r="M33" i="4" s="1"/>
  <c r="F10" i="4"/>
  <c r="K10" i="4" s="1"/>
  <c r="H10" i="4"/>
  <c r="H11" i="4"/>
  <c r="K11" i="4" s="1"/>
  <c r="K21" i="4"/>
  <c r="H9" i="4"/>
  <c r="R53" i="4"/>
  <c r="H34" i="5" s="1"/>
  <c r="T45" i="4"/>
  <c r="H44" i="5"/>
  <c r="H15" i="5"/>
  <c r="R46" i="4"/>
  <c r="H27" i="5" s="1"/>
  <c r="K9" i="4" l="1"/>
  <c r="F27" i="4"/>
  <c r="E27" i="4"/>
  <c r="K27" i="4"/>
  <c r="R28" i="4" s="1"/>
  <c r="H27" i="4"/>
  <c r="M59" i="4" s="1"/>
  <c r="P59" i="4" s="1"/>
  <c r="R59" i="4" s="1"/>
  <c r="H40" i="5" s="1"/>
  <c r="T48" i="4"/>
  <c r="S33" i="4"/>
  <c r="R33" i="4" s="1"/>
  <c r="H25" i="5"/>
  <c r="I13" i="5" l="1"/>
  <c r="P51" i="4"/>
  <c r="R51" i="4" s="1"/>
  <c r="P56" i="4"/>
  <c r="R56" i="4" s="1"/>
  <c r="H37" i="5" s="1"/>
  <c r="P55" i="4"/>
  <c r="R55" i="4" s="1"/>
  <c r="H36" i="5" s="1"/>
  <c r="R32" i="4"/>
  <c r="R34" i="4" s="1"/>
  <c r="R36" i="4" s="1"/>
  <c r="R38" i="4" s="1"/>
  <c r="I14" i="5"/>
  <c r="H14" i="5" l="1"/>
  <c r="H16" i="5" s="1"/>
  <c r="H21" i="5" s="1"/>
  <c r="H32" i="5"/>
  <c r="H41" i="5" s="1"/>
  <c r="R60" i="4"/>
  <c r="S62" i="4" s="1"/>
  <c r="R61" i="4" s="1"/>
  <c r="S63" i="4" l="1"/>
  <c r="R62" i="4" s="1"/>
  <c r="H42" i="5"/>
  <c r="R65" i="4"/>
  <c r="H46" i="5" s="1"/>
  <c r="H43" i="5" l="1"/>
  <c r="S64" i="4"/>
  <c r="R64" i="4" s="1"/>
  <c r="E72" i="4"/>
  <c r="R66" i="4" l="1"/>
  <c r="H45" i="5"/>
  <c r="E59" i="5"/>
  <c r="H47" i="5" l="1"/>
  <c r="R67" i="4"/>
  <c r="R69" i="4" l="1"/>
  <c r="H48" i="5"/>
  <c r="H50" i="5" l="1"/>
  <c r="D59" i="5" s="1"/>
  <c r="R71" i="4"/>
  <c r="H52" i="5" s="1"/>
</calcChain>
</file>

<file path=xl/comments1.xml><?xml version="1.0" encoding="utf-8"?>
<comments xmlns="http://schemas.openxmlformats.org/spreadsheetml/2006/main">
  <authors>
    <author>rajat</author>
  </authors>
  <commentList>
    <comment ref="K1" authorId="0">
      <text>
        <r>
          <rPr>
            <b/>
            <sz val="9"/>
            <color indexed="81"/>
            <rFont val="Tahoma"/>
            <family val="2"/>
          </rPr>
          <t>Mar</t>
        </r>
      </text>
    </comment>
    <comment ref="K2" authorId="0">
      <text>
        <r>
          <rPr>
            <b/>
            <sz val="9"/>
            <color indexed="81"/>
            <rFont val="Tahoma"/>
            <family val="2"/>
          </rPr>
          <t>Apl</t>
        </r>
      </text>
    </comment>
    <comment ref="L2" authorId="0">
      <text>
        <r>
          <rPr>
            <b/>
            <sz val="9"/>
            <color indexed="81"/>
            <rFont val="Tahoma"/>
            <family val="2"/>
          </rPr>
          <t>Mar</t>
        </r>
      </text>
    </comment>
    <comment ref="K3" authorId="0">
      <text>
        <r>
          <rPr>
            <b/>
            <sz val="9"/>
            <color indexed="81"/>
            <rFont val="Tahoma"/>
          </rPr>
          <t>May</t>
        </r>
      </text>
    </comment>
    <comment ref="L3" authorId="0">
      <text>
        <r>
          <rPr>
            <b/>
            <sz val="9"/>
            <color indexed="81"/>
            <rFont val="Tahoma"/>
            <family val="2"/>
          </rPr>
          <t>Apl</t>
        </r>
      </text>
    </comment>
    <comment ref="K4" authorId="0">
      <text>
        <r>
          <rPr>
            <b/>
            <sz val="9"/>
            <color indexed="81"/>
            <rFont val="Tahoma"/>
          </rPr>
          <t>Jun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May</t>
        </r>
      </text>
    </comment>
    <comment ref="K5" authorId="0">
      <text>
        <r>
          <rPr>
            <b/>
            <sz val="9"/>
            <color indexed="81"/>
            <rFont val="Tahoma"/>
          </rPr>
          <t>Jul</t>
        </r>
      </text>
    </comment>
    <comment ref="L5" authorId="0">
      <text>
        <r>
          <rPr>
            <b/>
            <sz val="9"/>
            <color indexed="81"/>
            <rFont val="Tahoma"/>
            <family val="2"/>
          </rPr>
          <t>jun</t>
        </r>
      </text>
    </comment>
    <comment ref="K6" authorId="0">
      <text>
        <r>
          <rPr>
            <b/>
            <sz val="9"/>
            <color indexed="81"/>
            <rFont val="Tahoma"/>
          </rPr>
          <t>Aug</t>
        </r>
      </text>
    </comment>
    <comment ref="L6" authorId="0">
      <text>
        <r>
          <rPr>
            <b/>
            <sz val="9"/>
            <color indexed="81"/>
            <rFont val="Tahoma"/>
            <family val="2"/>
          </rPr>
          <t>Jul</t>
        </r>
      </text>
    </comment>
    <comment ref="K7" authorId="0">
      <text>
        <r>
          <rPr>
            <b/>
            <sz val="9"/>
            <color indexed="81"/>
            <rFont val="Tahoma"/>
            <family val="2"/>
          </rPr>
          <t>Sep</t>
        </r>
      </text>
    </comment>
    <comment ref="L7" authorId="0">
      <text>
        <r>
          <rPr>
            <b/>
            <sz val="9"/>
            <color indexed="81"/>
            <rFont val="Tahoma"/>
            <family val="2"/>
          </rPr>
          <t>Aug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Oct</t>
        </r>
      </text>
    </comment>
    <comment ref="L8" authorId="0">
      <text>
        <r>
          <rPr>
            <b/>
            <sz val="9"/>
            <color indexed="81"/>
            <rFont val="Tahoma"/>
            <family val="2"/>
          </rPr>
          <t>Sep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>Nov</t>
        </r>
      </text>
    </comment>
    <comment ref="L9" authorId="0">
      <text>
        <r>
          <rPr>
            <b/>
            <sz val="9"/>
            <color indexed="81"/>
            <rFont val="Tahoma"/>
            <family val="2"/>
          </rPr>
          <t>Oct</t>
        </r>
      </text>
    </comment>
    <comment ref="K10" authorId="0">
      <text>
        <r>
          <rPr>
            <b/>
            <sz val="9"/>
            <color indexed="81"/>
            <rFont val="Tahoma"/>
            <family val="2"/>
          </rPr>
          <t>Dec</t>
        </r>
      </text>
    </comment>
    <comment ref="L10" authorId="0">
      <text>
        <r>
          <rPr>
            <b/>
            <sz val="9"/>
            <color indexed="81"/>
            <rFont val="Tahoma"/>
            <family val="2"/>
          </rPr>
          <t>Nov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>Jan</t>
        </r>
      </text>
    </comment>
    <comment ref="L11" authorId="0">
      <text>
        <r>
          <rPr>
            <b/>
            <sz val="9"/>
            <color indexed="81"/>
            <rFont val="Tahoma"/>
            <family val="2"/>
          </rPr>
          <t>Dec</t>
        </r>
      </text>
    </comment>
    <comment ref="K12" authorId="0">
      <text>
        <r>
          <rPr>
            <b/>
            <sz val="9"/>
            <color indexed="81"/>
            <rFont val="Tahoma"/>
            <family val="2"/>
          </rPr>
          <t>Feb</t>
        </r>
      </text>
    </comment>
    <comment ref="L12" authorId="0">
      <text>
        <r>
          <rPr>
            <b/>
            <sz val="9"/>
            <color indexed="81"/>
            <rFont val="Tahoma"/>
            <family val="2"/>
          </rPr>
          <t>Jan</t>
        </r>
      </text>
    </comment>
    <comment ref="K13" authorId="0">
      <text>
        <r>
          <rPr>
            <b/>
            <sz val="9"/>
            <color indexed="81"/>
            <rFont val="Tahoma"/>
            <family val="2"/>
          </rPr>
          <t>Mar</t>
        </r>
      </text>
    </comment>
    <comment ref="L13" authorId="0">
      <text>
        <r>
          <rPr>
            <b/>
            <sz val="9"/>
            <color indexed="81"/>
            <rFont val="Tahoma"/>
            <family val="2"/>
          </rPr>
          <t>Feb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>Jan (old)</t>
        </r>
      </text>
    </comment>
    <comment ref="K16" authorId="0">
      <text>
        <r>
          <rPr>
            <b/>
            <sz val="9"/>
            <color indexed="81"/>
            <rFont val="Tahoma"/>
            <family val="2"/>
          </rPr>
          <t>Feb (old)</t>
        </r>
      </text>
    </comment>
    <comment ref="K18" authorId="0">
      <text>
        <r>
          <rPr>
            <b/>
            <sz val="9"/>
            <color indexed="81"/>
            <rFont val="Tahoma"/>
            <family val="2"/>
          </rPr>
          <t>Mar</t>
        </r>
      </text>
    </comment>
    <comment ref="K19" authorId="0">
      <text>
        <r>
          <rPr>
            <b/>
            <sz val="9"/>
            <color indexed="81"/>
            <rFont val="Tahoma"/>
            <family val="2"/>
          </rPr>
          <t>Apl</t>
        </r>
      </text>
    </comment>
    <comment ref="K20" authorId="0">
      <text>
        <r>
          <rPr>
            <b/>
            <sz val="9"/>
            <color indexed="81"/>
            <rFont val="Tahoma"/>
            <family val="2"/>
          </rPr>
          <t>May</t>
        </r>
      </text>
    </comment>
    <comment ref="K21" authorId="0">
      <text>
        <r>
          <rPr>
            <b/>
            <sz val="9"/>
            <color indexed="81"/>
            <rFont val="Tahoma"/>
            <family val="2"/>
          </rPr>
          <t>Jun</t>
        </r>
      </text>
    </comment>
    <comment ref="K22" authorId="0">
      <text>
        <r>
          <rPr>
            <b/>
            <sz val="9"/>
            <color indexed="81"/>
            <rFont val="Tahoma"/>
            <family val="2"/>
          </rPr>
          <t>Jul</t>
        </r>
      </text>
    </comment>
    <comment ref="K23" authorId="0">
      <text>
        <r>
          <rPr>
            <b/>
            <sz val="9"/>
            <color indexed="81"/>
            <rFont val="Tahoma"/>
            <family val="2"/>
          </rPr>
          <t>Aug</t>
        </r>
      </text>
    </comment>
    <comment ref="K24" authorId="0">
      <text>
        <r>
          <rPr>
            <b/>
            <sz val="9"/>
            <color indexed="81"/>
            <rFont val="Tahoma"/>
            <family val="2"/>
          </rPr>
          <t>Sep</t>
        </r>
      </text>
    </comment>
    <comment ref="K25" authorId="0">
      <text>
        <r>
          <rPr>
            <b/>
            <sz val="9"/>
            <color indexed="81"/>
            <rFont val="Tahoma"/>
            <family val="2"/>
          </rPr>
          <t>Oct</t>
        </r>
      </text>
    </comment>
    <comment ref="K26" authorId="0">
      <text>
        <r>
          <rPr>
            <b/>
            <sz val="9"/>
            <color indexed="81"/>
            <rFont val="Tahoma"/>
            <family val="2"/>
          </rPr>
          <t>Nov</t>
        </r>
      </text>
    </comment>
    <comment ref="K27" authorId="0">
      <text>
        <r>
          <rPr>
            <b/>
            <sz val="9"/>
            <color indexed="81"/>
            <rFont val="Tahoma"/>
            <family val="2"/>
          </rPr>
          <t>Dec</t>
        </r>
      </text>
    </comment>
    <comment ref="K28" authorId="0">
      <text>
        <r>
          <rPr>
            <b/>
            <sz val="9"/>
            <color indexed="81"/>
            <rFont val="Tahoma"/>
            <family val="2"/>
          </rPr>
          <t>Feb</t>
        </r>
      </text>
    </comment>
  </commentList>
</comments>
</file>

<file path=xl/comments2.xml><?xml version="1.0" encoding="utf-8"?>
<comments xmlns="http://schemas.openxmlformats.org/spreadsheetml/2006/main">
  <authors>
    <author>rajat</author>
  </authors>
  <commentList>
    <comment ref="S9" authorId="0">
      <text>
        <r>
          <rPr>
            <b/>
            <sz val="9"/>
            <color indexed="81"/>
            <rFont val="Tahoma"/>
            <family val="2"/>
          </rPr>
          <t>Before Jan D A</t>
        </r>
      </text>
    </comment>
    <comment ref="S10" authorId="0">
      <text>
        <r>
          <rPr>
            <b/>
            <sz val="9"/>
            <color indexed="81"/>
            <rFont val="Tahoma"/>
            <family val="2"/>
          </rPr>
          <t>Jan Total D A</t>
        </r>
      </text>
    </comment>
    <comment ref="S11" authorId="0">
      <text>
        <r>
          <rPr>
            <b/>
            <sz val="9"/>
            <color indexed="81"/>
            <rFont val="Tahoma"/>
            <family val="2"/>
          </rPr>
          <t>July Total D A</t>
        </r>
      </text>
    </comment>
    <comment ref="S12" authorId="0">
      <text>
        <r>
          <rPr>
            <b/>
            <sz val="9"/>
            <color indexed="81"/>
            <rFont val="Tahoma"/>
            <family val="2"/>
          </rPr>
          <t>Jan D A</t>
        </r>
      </text>
    </comment>
    <comment ref="S13" authorId="0">
      <text>
        <r>
          <rPr>
            <b/>
            <sz val="9"/>
            <color indexed="81"/>
            <rFont val="Tahoma"/>
            <family val="2"/>
          </rPr>
          <t>July D A</t>
        </r>
      </text>
    </comment>
    <comment ref="T20" authorId="0">
      <text>
        <r>
          <rPr>
            <b/>
            <sz val="9"/>
            <color indexed="81"/>
            <rFont val="Tahoma"/>
          </rPr>
          <t>Jan DA</t>
        </r>
      </text>
    </comment>
    <comment ref="T21" authorId="0">
      <text>
        <r>
          <rPr>
            <b/>
            <sz val="9"/>
            <color indexed="81"/>
            <rFont val="Tahoma"/>
          </rPr>
          <t>Feb DA</t>
        </r>
      </text>
    </comment>
    <comment ref="T22" authorId="0">
      <text>
        <r>
          <rPr>
            <b/>
            <sz val="9"/>
            <color indexed="81"/>
            <rFont val="Tahoma"/>
          </rPr>
          <t>Mar DA</t>
        </r>
      </text>
    </comment>
    <comment ref="T23" authorId="0">
      <text>
        <r>
          <rPr>
            <sz val="9"/>
            <color indexed="81"/>
            <rFont val="Tahoma"/>
          </rPr>
          <t>D A Diff from Jan to Mar</t>
        </r>
      </text>
    </comment>
    <comment ref="T24" authorId="0">
      <text>
        <r>
          <rPr>
            <b/>
            <sz val="9"/>
            <color indexed="81"/>
            <rFont val="Tahoma"/>
          </rPr>
          <t>Jul D A</t>
        </r>
      </text>
    </comment>
    <comment ref="T25" authorId="0">
      <text>
        <r>
          <rPr>
            <b/>
            <sz val="9"/>
            <color indexed="81"/>
            <rFont val="Tahoma"/>
          </rPr>
          <t>Aug D A</t>
        </r>
      </text>
    </comment>
    <comment ref="T26" authorId="0">
      <text>
        <r>
          <rPr>
            <b/>
            <sz val="9"/>
            <color indexed="81"/>
            <rFont val="Tahoma"/>
          </rPr>
          <t>Sep D A</t>
        </r>
      </text>
    </comment>
    <comment ref="T27" authorId="0">
      <text>
        <r>
          <rPr>
            <b/>
            <sz val="9"/>
            <color indexed="81"/>
            <rFont val="Tahoma"/>
            <family val="2"/>
          </rPr>
          <t>D A Diff from Jul to Sep</t>
        </r>
      </text>
    </comment>
  </commentList>
</comments>
</file>

<file path=xl/sharedStrings.xml><?xml version="1.0" encoding="utf-8"?>
<sst xmlns="http://schemas.openxmlformats.org/spreadsheetml/2006/main" count="306" uniqueCount="257">
  <si>
    <t>Sign of Employee</t>
  </si>
  <si>
    <t>SALARY</t>
  </si>
  <si>
    <t>PAY</t>
  </si>
  <si>
    <t>D A</t>
  </si>
  <si>
    <t>HRA</t>
  </si>
  <si>
    <t>PHA</t>
  </si>
  <si>
    <t>TOTAL</t>
  </si>
  <si>
    <t>P T</t>
  </si>
  <si>
    <t>G P F</t>
  </si>
  <si>
    <t>K G I D</t>
  </si>
  <si>
    <t>L I C</t>
  </si>
  <si>
    <t>DEDUCTIONS</t>
  </si>
  <si>
    <t>Name :</t>
  </si>
  <si>
    <t>PAN No</t>
  </si>
  <si>
    <t>Arrears</t>
  </si>
  <si>
    <t>Surrender</t>
  </si>
  <si>
    <t>Others</t>
  </si>
  <si>
    <t>FORM NO 16</t>
  </si>
  <si>
    <t>(See Rule 31 (1) (a))</t>
  </si>
  <si>
    <t>NAME &amp; ADDRESS OF THE EMPLOYER</t>
  </si>
  <si>
    <t>NAME &amp; DESIGNATION OF THE EMPLOYEE</t>
  </si>
  <si>
    <t>TAN No</t>
  </si>
  <si>
    <t>Period</t>
  </si>
  <si>
    <t>Assessment Year</t>
  </si>
  <si>
    <r>
      <t xml:space="preserve">Certified under 203 of Income Tax Act 1961 for Tax deducted at Source from Income Chargable under the head </t>
    </r>
    <r>
      <rPr>
        <b/>
        <u/>
        <sz val="10"/>
        <rFont val="Arial"/>
        <family val="2"/>
      </rPr>
      <t>"Salaries"</t>
    </r>
  </si>
  <si>
    <t>Details of salary paid and any other income and Tax deducted</t>
  </si>
  <si>
    <t>DETAILS OF TAX DEDUCTION AND DEPOSITED IN TO CENTRAL GOVT.ACCOUNT</t>
  </si>
  <si>
    <t>Amount</t>
  </si>
  <si>
    <t>Date of Payment</t>
  </si>
  <si>
    <t>Bank Name &amp; Branch</t>
  </si>
  <si>
    <t xml:space="preserve">                       b) Entertainment allowance U/s 16(II)</t>
  </si>
  <si>
    <t>Month YEAR</t>
  </si>
  <si>
    <t xml:space="preserve">I T </t>
  </si>
  <si>
    <t>1. Gross Total salary.</t>
  </si>
  <si>
    <t>Date   :</t>
  </si>
  <si>
    <t>Rent paid in excess of 10% of salary</t>
  </si>
  <si>
    <t>Actual HRA received</t>
  </si>
  <si>
    <t>Private Insurance</t>
  </si>
  <si>
    <t>L.I.C</t>
  </si>
  <si>
    <t>Tution Fee</t>
  </si>
  <si>
    <t>Office Address</t>
  </si>
  <si>
    <t xml:space="preserve">Designation : </t>
  </si>
  <si>
    <t>MA</t>
  </si>
  <si>
    <t>Housing Loan Principle Amt</t>
  </si>
  <si>
    <t>NPS</t>
  </si>
  <si>
    <t>Quarter</t>
  </si>
  <si>
    <t>Eligible HRA</t>
  </si>
  <si>
    <t>No</t>
  </si>
  <si>
    <t>TDS Circle where Annual Return / statement under section 206 to be filed   I.T.O. - III Hubli</t>
  </si>
  <si>
    <t>1. Name of Employee</t>
  </si>
  <si>
    <t>2. Designation,</t>
  </si>
  <si>
    <t>4. Residential Address.</t>
  </si>
  <si>
    <t>6. Name of Controlling Authority.</t>
  </si>
  <si>
    <t>7. Designation of Controlling Authority.</t>
  </si>
  <si>
    <t>8. TAN number.</t>
  </si>
  <si>
    <t>Mar</t>
  </si>
  <si>
    <t>Feb</t>
  </si>
  <si>
    <t>Jan</t>
  </si>
  <si>
    <t>Apl</t>
  </si>
  <si>
    <t>Jun</t>
  </si>
  <si>
    <t>May</t>
  </si>
  <si>
    <t>Sep</t>
  </si>
  <si>
    <t>Aug</t>
  </si>
  <si>
    <t>Jul</t>
  </si>
  <si>
    <t>Oct</t>
  </si>
  <si>
    <t>Dec</t>
  </si>
  <si>
    <t>Month</t>
  </si>
  <si>
    <t>Eligible Amt</t>
  </si>
  <si>
    <t>ಮುಖ್ಯಾಂಶಗಳು</t>
  </si>
  <si>
    <t>5. ವರ್ಷದ ಮದ್ಯದಲ್ಲಿ ವರ್ಗಾವಣೆಯಾದವರಿಗೆ ಅನೂಕೂಲವಾಗಲು ಎಚ್.ಆರ್.ಎ ಮಾಹಿತಿ ತಿಂಗಳುವಾರು ಎ.ಬಿ.ಸಿ. ಗ್ರೇಡ್ ಆಯ್ಕೆಮಾಡಿರಿ.</t>
  </si>
  <si>
    <t>9. Scale of Employee.</t>
  </si>
  <si>
    <t xml:space="preserve">     ಲೆಕ್ಕಾಚಾರ ತಾನೆ ಮಾಡಿ ವೃತ್ತಿ ತೆರಿಗೆ ವಿನಾಯ್ತಿ ತೋರಿಸಿ, 80U, 10(14) ರಲ್ಲಿ ತೆರಿಗೆ ವಿನಾಯ್ತಿ ತೋರಿಸುತ್ತದೆ.</t>
  </si>
  <si>
    <t xml:space="preserve">        10 ಲಕ್ಷದಮೇಲಿದ್ದರೆ 30% ಲೆಕ್ಕಾಚಾರ ತಾನೆ ಮಾಡಿ ತೋರಿಸುತ್ತದೆ.</t>
  </si>
  <si>
    <t xml:space="preserve">     ದಿನಾಂಕ ಮತ್ತು ತಿಂಗಳು ನಮೂದಿಸಿರಿ.</t>
  </si>
  <si>
    <t>2. ಡಿಟೇಲ್ಸನಲ್ಲಿ ಮಾಹಿತಿ ತುಂಬಿದರೆ, ಪಾರ್ಮ 16 ಮತ್ತು ಪಾರ್ಮ 16A ಸಿದ್ದವಾಗುತ್ತದೆ.</t>
  </si>
  <si>
    <t>Saving A/C Number</t>
  </si>
  <si>
    <t>IFSC Code</t>
  </si>
  <si>
    <t>Date of Birth of Employee</t>
  </si>
  <si>
    <t xml:space="preserve">        Handicapped person.</t>
  </si>
  <si>
    <t xml:space="preserve">Place : </t>
  </si>
  <si>
    <t>Dharwad</t>
  </si>
  <si>
    <t>Place  :</t>
  </si>
  <si>
    <t>Sign of Employer</t>
  </si>
  <si>
    <t xml:space="preserve">             Sign of the person responsible for deduction of Tax </t>
  </si>
  <si>
    <t>I T</t>
  </si>
  <si>
    <t>Surender DA</t>
  </si>
  <si>
    <t>10. Your Basic Pay as on March.</t>
  </si>
  <si>
    <t>Scale</t>
  </si>
  <si>
    <t>has been deducted at source and paid to the credit of the central Govt. further certified that above information is true and correct as per records.</t>
  </si>
  <si>
    <t xml:space="preserve">10. ಖಾಸಗಿ ಅನುದಾನಿತ ಶಾಲಾ ಶಿಕ್ಷಕರಿಗೆ ಜಿ.ಐ.ಎಸ್. ಇರುವದಿಲ್ಲ. ಕ್ರ.ಸಂ. 18 ರಲ್ಲಿ Yes/ No ತುಂಬಿದರೆ ಸಾಕು ಲೆಕ್ಕಿಸುತ್ತದೆ. </t>
  </si>
  <si>
    <t xml:space="preserve">6. ವಿಕಲಚೇತನರಿಗೆ ವಿಶೇಷವಾಗಿ ಇದನ್ನು ರಚಿಸಲಾಗಿದೆ. ಅಂದರೆ ವಿಕಲಚೇತನ Yes/ No ಎಂದು ಕ್ರ.ಸಂ. 16 &amp; 21 ತುಂಬಿದರೆ ಅವರ ಸಂಚಾರಿ ಭತ್ಯೆ </t>
  </si>
  <si>
    <t>Total</t>
  </si>
  <si>
    <t>D.A.Diff Jan</t>
  </si>
  <si>
    <t>D.A.Diff Jul</t>
  </si>
  <si>
    <t>For more details contact : hucheshpk@gmail.com,   mob : 9844025347</t>
  </si>
  <si>
    <t>Employees Payment Details for I T Calculation</t>
  </si>
  <si>
    <t>9. ಉಳಿತಾಯ 1,50,000 ಮೀರಿದ್ದರೆ, 1,50,000 ಮಾತ್ರ ಪರಿಗಣಿಸುವ ವ್ಯವಸ್ಥೆ ಇದೆ.</t>
  </si>
  <si>
    <t>2. Agricultural Income</t>
  </si>
  <si>
    <t>Date    :</t>
  </si>
  <si>
    <t>KARUNADU DIVYANGA NAUKARAR SANGHA         ಕರುನಾಡು ದಿವ್ಯಾಂಗ ನೌಕರರ ಸಂಘ     KARUNADU DIVYANGA NAUKARAR SANGHA         ಕರುನಾಡು ದಿವ್ಯಾಂಗ ನೌಕರರ ಸಂಘ   KARUNADU DIVYANGA NAUKARAR SANGHA         ಕರುನಾಡು ದಿವ್ಯಾಂಗ ನೌಕರರ ಸಂಘ</t>
  </si>
  <si>
    <t>KARUNADU DIVYANGA NAUKARAR SANGHA - ಕರುನಾಡು ದಿವ್ಯಾಂಗ ನೌಕರರ ಸಂಘ - KARUNADU DIVYANGA NAUKARAR SANGHA - ಕರುನಾಡು ದಿವ್ಯಾಂಗ ನೌಕರರ ಸಂಘ - KARUNADU DIVYANGA NAUKARAR SANGHA - ಕರುನಾಡು ದಿವ್ಯಾಂಗ ನೌಕರರ ಸಂಘ</t>
  </si>
  <si>
    <t>Sukanya Samruddi Yojane</t>
  </si>
  <si>
    <t>GIS /FBF</t>
  </si>
  <si>
    <t>Govt</t>
  </si>
  <si>
    <t>3. Other Income</t>
  </si>
  <si>
    <t>5. Total Income</t>
  </si>
  <si>
    <t>6. Less : HRA U/S 10 (13A)</t>
  </si>
  <si>
    <t>7. DEDUCTION P.T.</t>
  </si>
  <si>
    <t xml:space="preserve">8. Income chargable under the head "Salaries" </t>
  </si>
  <si>
    <t xml:space="preserve">9. Saving Bank Interest. / NSC Accrued Interest. / Infr Structure Bond Interest. </t>
  </si>
  <si>
    <t>17000-400-18600-450-20400-500-22400-550-24600-600-27000-650--28950</t>
  </si>
  <si>
    <t>18600-450-20400-500-22400-550-24600-600-27000-650--29600-750-32600</t>
  </si>
  <si>
    <t>19950-450-20400-500-22400-550-24600-600-27000-650-29600-750-32600-850-36000-950-37900</t>
  </si>
  <si>
    <t>21400-500-22400-550-24600-600-27000-650-29600-750-32600-850-36000-950-39800-1100-42000</t>
  </si>
  <si>
    <t>25800-600-27000-650-29600-750-32600-850-36000-950-39800-1100-46400-1250-51400</t>
  </si>
  <si>
    <t>27650-650-29600-750-32600-850-36000-950-39800-1100-46400-1250-52650</t>
  </si>
  <si>
    <t>30350-750-32600-850-36000-950-39800-1100-46400-1250-53900-1450-58250</t>
  </si>
  <si>
    <t>33450-850-36000-950-39800-1100-46400-1250-53900-1450-62600</t>
  </si>
  <si>
    <t>36000-950-39800-1100-46400-1250-53900-1450-62600-1650-67550</t>
  </si>
  <si>
    <t>37900-950-39800-1100-46400-1250-53900-1450-62600-1650-70850</t>
  </si>
  <si>
    <t>40900-1100-46400-1250-53900-1450-62600-1650-72500-1900-78200</t>
  </si>
  <si>
    <t>43100-1100-46400-1250-53900-1450-62600-1650-72500-1900-83900</t>
  </si>
  <si>
    <t>45300-1100-46400-1250-53900-1450-62600-1650-72500-1900-83900-2200-88300</t>
  </si>
  <si>
    <t>48900-1250-53900-1450-62600-1650-72500-1900-83900-2200-92700</t>
  </si>
  <si>
    <t>56800-1450-62600-1650-72500-1900-83900-2200-97100-2500-99600</t>
  </si>
  <si>
    <t>61150-1450-62600-1650-72500-1900-83900-2200-97100-2500-102100</t>
  </si>
  <si>
    <t>67550-1650-72500-1900-83900-2200-97100-2500-104600</t>
  </si>
  <si>
    <t>70850-1650-72500-1900-83900-2200-97100-2500-107100</t>
  </si>
  <si>
    <t>74400-1900-83900-2200-97100-2500-109600</t>
  </si>
  <si>
    <t>82000-1900-83900-2200-97100-2500-112100-2800-117100</t>
  </si>
  <si>
    <t>90500-2200-97100-2500-112100-2800-123300</t>
  </si>
  <si>
    <t>97100-2500-112100-2800-128900-3100-141300</t>
  </si>
  <si>
    <t>104600-2500-112100-2800-128900-3100-150600</t>
  </si>
  <si>
    <t>5. Office Address.</t>
  </si>
  <si>
    <t>14. Rate of Increment.</t>
  </si>
  <si>
    <t>17. If yes, Effective Date and Month.</t>
  </si>
  <si>
    <r>
      <t xml:space="preserve">18. Whether you belong to  Single child holder </t>
    </r>
    <r>
      <rPr>
        <b/>
        <sz val="12"/>
        <color rgb="FFFFFF00"/>
        <rFont val="Arial"/>
        <family val="2"/>
      </rPr>
      <t>OR</t>
    </r>
    <r>
      <rPr>
        <sz val="11"/>
        <rFont val="Arial"/>
        <family val="2"/>
      </rPr>
      <t xml:space="preserve">         </t>
    </r>
  </si>
  <si>
    <t xml:space="preserve">13. Regular Increment Month </t>
  </si>
  <si>
    <t>19. Whether you belong to New Pension Scheme.</t>
  </si>
  <si>
    <t>20. Whether you are Govt Employee or Private Employee</t>
  </si>
  <si>
    <t>21. Which group you belong to (A,B,C,D)</t>
  </si>
  <si>
    <t>24. Are you Handicapped person?</t>
  </si>
  <si>
    <t>25. Are you claimimng Medical Allowance.</t>
  </si>
  <si>
    <t>26. Do you want you claim H.R.A. deduction in income tax</t>
  </si>
  <si>
    <t>30. Employees Date of Birth</t>
  </si>
  <si>
    <t>31. Bank Savings A/C Number</t>
  </si>
  <si>
    <t>32. IFSC Code</t>
  </si>
  <si>
    <t>33. Is there any Agricultural Income.</t>
  </si>
  <si>
    <t>15. If there is Stagnation Increment select rate of increment</t>
  </si>
  <si>
    <t>23500-550-22400-550-24600-600-27000-650-29600-750-32600-850-36000-950-39800-1100-46400-1250-47650</t>
  </si>
  <si>
    <t>C A</t>
  </si>
  <si>
    <t>Nov</t>
  </si>
  <si>
    <t>3. PAN Number/ KGID No.</t>
  </si>
  <si>
    <t>KGID No.</t>
  </si>
  <si>
    <t>8. House Property Interest payable on barrowed capital U/S 24</t>
  </si>
  <si>
    <t>10. Deduction U/S 80C K.G.I.D.</t>
  </si>
  <si>
    <t>G.P.F.</t>
  </si>
  <si>
    <t>P.L.I</t>
  </si>
  <si>
    <t>Total Amount</t>
  </si>
  <si>
    <t>80CCD(1) - Contribution to pension scheme of Central Government</t>
  </si>
  <si>
    <t>80CCD(1B) - Contribution to pension scheme of Central Government by employee</t>
  </si>
  <si>
    <t>80CCD(2) - Contribution to pension scheme of Central Government by employer</t>
  </si>
  <si>
    <t>80CCG - Investment made under an equity savings scheme</t>
  </si>
  <si>
    <t>80DD - Dependent person with Disability</t>
  </si>
  <si>
    <t>80E - Interest on loan taken for higher education</t>
  </si>
  <si>
    <t>80EE - Interest on loan taken for residential house property</t>
  </si>
  <si>
    <t>80G - Donations to certain funds, charitable institutions, etc</t>
  </si>
  <si>
    <t>80GG - Rent paid</t>
  </si>
  <si>
    <t>80GGA - Certain donations for scientific research or rural development</t>
  </si>
  <si>
    <t>80GGC - Donation to Political party</t>
  </si>
  <si>
    <t>80TTA - Income from Interest on saving bank Accounts</t>
  </si>
  <si>
    <t>80D -Health insurance Premium</t>
  </si>
  <si>
    <t>80U- Person with disability</t>
  </si>
  <si>
    <t>80DDB - Medical Treatment of Specified Disease</t>
  </si>
  <si>
    <t>11. TOTAL TAXABLE  INCOME</t>
  </si>
  <si>
    <t>12. TOTAL TAX</t>
  </si>
  <si>
    <t>13. Less Income Under Section 10(1) (Agricultural Income)</t>
  </si>
  <si>
    <t>15. Edn Cess 4%</t>
  </si>
  <si>
    <t>16. Less Income Under Section 89 (Salary Arrears/ Advance)</t>
  </si>
  <si>
    <t>17. TOTAL TAX</t>
  </si>
  <si>
    <t>18. TAX ADVANCE PAID.</t>
  </si>
  <si>
    <t>19. PAYABLE TAX / REFUNDABLE AMT.</t>
  </si>
  <si>
    <t>20. TAX IN WORDS.</t>
  </si>
  <si>
    <t>80CCC Payment in respect Pension Fund</t>
  </si>
  <si>
    <t>80C- L.I.C.,G.P.F.,P.L.I.,G.I.S.,Debenturs,mutual funds other savings.</t>
  </si>
  <si>
    <t>G.I.S./ F.B.F</t>
  </si>
  <si>
    <t>Othres</t>
  </si>
  <si>
    <t>10(14) Travelling Allowance for P.W.D. person</t>
  </si>
  <si>
    <t>Certified that a sum of</t>
  </si>
  <si>
    <t>Dependent person with disability</t>
  </si>
  <si>
    <t>16. Is there 10/15/20 years Increment./ Add Increment?</t>
  </si>
  <si>
    <t>22. C.C.A. rate (if you are in A and B cadre city)</t>
  </si>
  <si>
    <t>23. Have you belong to Small Family Norms (SFN)                     (mention your Increment rate)</t>
  </si>
  <si>
    <t>27. If yes, Actual your house rent per month.</t>
  </si>
  <si>
    <t>29. Surrender-which month you claimed.</t>
  </si>
  <si>
    <t>15. Rebata U/S 87A</t>
  </si>
  <si>
    <t>14. Tax</t>
  </si>
  <si>
    <t>16. Net Tax</t>
  </si>
  <si>
    <t>4. Standard Deduction U/C 16.(40,000/-)</t>
  </si>
  <si>
    <t>Self or dependent</t>
  </si>
  <si>
    <t>Self and family including senior citizen parents</t>
  </si>
  <si>
    <t>Self with Disability</t>
  </si>
  <si>
    <t>12. Type of Increment / Additional Increment</t>
  </si>
  <si>
    <t xml:space="preserve">80G - Donations to certain funds, </t>
  </si>
  <si>
    <t>Select</t>
  </si>
  <si>
    <t xml:space="preserve">11.Whether you claiming Uniforn Allowance </t>
  </si>
  <si>
    <t>Char All</t>
  </si>
  <si>
    <t>B</t>
  </si>
  <si>
    <t xml:space="preserve">7. ಟ್ಯಾಕ್ಸೆಬಲ್ ಆದಾಯ 5 ಲಕ್ಷದೊಳಗೆ ಇದ್ದರೆ 0% ತೆರಿಗೆ, 5 ಲಕ್ಷದಿಂದ 10 ಲಕ್ಷದೊಳಗೆ ಇದ್ದರೆ 20% ಮತ್ತು </t>
  </si>
  <si>
    <t>8. ಟ್ಯಾಕ್ಸೆಬಲ್ ಆದಾಯ 3.5 ಲಕ್ಷದೊಳಗೆ ಇದ್ದರೆ, U/S 87A ಅಡಿಯಲ್ಲಿ ರೂ 2,500 ವಿನಾಯ್ತಿ ಲೆಕ್ಕಾಚಾರ ತಾನೆ ನಿರ್ವಹಿಸುತ್ತದೆ.</t>
  </si>
  <si>
    <t>From                                 01/ April / 2019</t>
  </si>
  <si>
    <t>To                      31/ March / 2020</t>
  </si>
  <si>
    <t>2020-21</t>
  </si>
  <si>
    <t>DETAILS OF SALARY &amp; DEDUCTIONS for the Financial Year of 2019- 20 A.Y.2020-21</t>
  </si>
  <si>
    <t>Allowance not exempt</t>
  </si>
  <si>
    <t>Less : Allowance to the extent exmpt under section 10</t>
  </si>
  <si>
    <t>Deductions : a) Tax on employment U/s 16(III)</t>
  </si>
  <si>
    <t>Agregate of 4 (a+b)</t>
  </si>
  <si>
    <t>Deduction under chapter VI A</t>
  </si>
  <si>
    <t>Gross Salary</t>
  </si>
  <si>
    <t>9. Agregate of Tax Rebate &amp; Relief</t>
  </si>
  <si>
    <t>10.Total Taxable Income (8-10+12)</t>
  </si>
  <si>
    <t>11. Tax On Total Income</t>
  </si>
  <si>
    <t>12. Less Income Under Section 10(1) (Agricultural Income)</t>
  </si>
  <si>
    <t>13. Tax</t>
  </si>
  <si>
    <t>14. Rebata U/S 87A</t>
  </si>
  <si>
    <t>15.  Net Tax</t>
  </si>
  <si>
    <t>16.  Edn Cess 4%</t>
  </si>
  <si>
    <t>17. Less Income Under Section 89 (Salary Arrears/ Advance)</t>
  </si>
  <si>
    <t xml:space="preserve">18.  Agregate Total Tax </t>
  </si>
  <si>
    <t>19. Total Tax Paid</t>
  </si>
  <si>
    <t>20. Refund/ Balance Tax</t>
  </si>
  <si>
    <t>Balance (1-2-3)</t>
  </si>
  <si>
    <r>
      <t xml:space="preserve"> Income Chargable under the head </t>
    </r>
    <r>
      <rPr>
        <b/>
        <sz val="11"/>
        <rFont val="Arial"/>
        <family val="2"/>
      </rPr>
      <t>'SALARIES'</t>
    </r>
    <r>
      <rPr>
        <b/>
        <sz val="10"/>
        <rFont val="Arial"/>
        <family val="2"/>
      </rPr>
      <t xml:space="preserve"> (4-6)</t>
    </r>
  </si>
  <si>
    <t>52650-1250-53900-1450-62600-1650-72500-1900-83900-2200-97100</t>
  </si>
  <si>
    <t>Permnent  Address:</t>
  </si>
  <si>
    <t>Aadhar No.</t>
  </si>
  <si>
    <t>Aadhar</t>
  </si>
  <si>
    <t>Aadhar No</t>
  </si>
  <si>
    <t>S F N + Unu All</t>
  </si>
  <si>
    <t>1. ಬಳಕೆದಾರರು ತಮ್ಮ ಕಂಪ್ಯೂಟರ್ ದಲ್ಲಿ Office 2007 ಇರುವದನ್ನು ಖಾತ್ರಿಪಡಿಸಿಕೊಳ್ಳಿ.</t>
  </si>
  <si>
    <t xml:space="preserve"> CCA</t>
  </si>
  <si>
    <t xml:space="preserve">4. ಕಾಲಮಿತಿ ಬಡ್ತಿ ಅಂದರೆ 10/15/20 ವರ್ಷದ ಬಡ್ತಿಯಿದ್ದಲ್ಲಿ, ಡಿಟೇಲ್ಸನಲ್ಲಿ ಕ್ರ.ಸಂ 13 ರಲ್ಲಿ ತುಂಬಿರಿ. ಕ್ರ.ಸಂ. 14 ರಲ್ಲಿ ಜಾರಿಯಾಗುವ </t>
  </si>
  <si>
    <t>40% of Basic Pay</t>
  </si>
  <si>
    <t>House Property Interest payable on barrowed capital U/S 24</t>
  </si>
  <si>
    <t>4.a</t>
  </si>
  <si>
    <t>Regular</t>
  </si>
  <si>
    <t>Nil</t>
  </si>
  <si>
    <t>SBIN0001730</t>
  </si>
  <si>
    <t>ಶ್ರೀನಿವಾಸ ಹೆಚ್.ಟಿ.</t>
  </si>
  <si>
    <t>ದೈಹಿಕ ಶಿಕ್ಷಣ ಶಿಕ್ಷಕರು(ಗ್ರೇಡ್-1)</t>
  </si>
  <si>
    <t>AXTPS4023M</t>
  </si>
  <si>
    <t>2718 E BLOCK, KANAKADASANAGARA MYSORE</t>
  </si>
  <si>
    <t>GJC(HS) KARIMUDDANAHALLI, HUNSUR TQ.</t>
  </si>
  <si>
    <t>NANJUSNDAIAH</t>
  </si>
  <si>
    <t>SENIOR ASSISTANT TEACHER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</si>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</sst>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[$-409]mmm\-yy;@"/>
    <numFmt numFmtId="165" formatCode="[$₹-4009]\ #,##0"/>
    <numFmt numFmtId="166" formatCode="[$रु-439]\ #,##0"/>
    <numFmt numFmtId="167" formatCode="[$-14009]dd\ mmmm\ yyyy;@"/>
    <numFmt numFmtId="168" formatCode="000000000000"/>
    <numFmt numFmtId="169" formatCode="&quot;Rs.&quot;\ #,##0"/>
    <numFmt numFmtId="170" formatCode="#,##0_ ;\-#,##0\ "/>
    <numFmt numFmtId="171" formatCode="dd\/mm\/yyyy"/>
    <numFmt numFmtId="172" formatCode="\W\W\W\W0000000"/>
    <numFmt numFmtId="173" formatCode="\w\w\w\w\w0000\w"/>
    <numFmt numFmtId="174" formatCode="\W\W\W\W\W\W\W\W\W\W\W\W\W\W\W\W\W\W\W\W\W\W\W\W\W\W\W\W\W"/>
  </numFmts>
  <fonts count="47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i/>
      <u/>
      <sz val="14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u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4"/>
      <name val="Arial"/>
      <family val="2"/>
    </font>
    <font>
      <sz val="11"/>
      <color theme="0"/>
      <name val="Arial"/>
      <family val="2"/>
    </font>
    <font>
      <b/>
      <sz val="12"/>
      <color rgb="FFFFFF0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12"/>
      <color theme="0"/>
      <name val="Arial"/>
      <family val="2"/>
    </font>
    <font>
      <sz val="11"/>
      <color rgb="FFFFFF00"/>
      <name val="Arial"/>
      <family val="2"/>
    </font>
    <font>
      <sz val="10"/>
      <color rgb="FFFFFF00"/>
      <name val="Arial"/>
      <family val="2"/>
    </font>
    <font>
      <b/>
      <sz val="9"/>
      <color rgb="FFFFFF00"/>
      <name val="Arial"/>
      <family val="2"/>
    </font>
    <font>
      <b/>
      <sz val="10"/>
      <color rgb="FFFFFF00"/>
      <name val="Arial"/>
      <family val="2"/>
    </font>
    <font>
      <b/>
      <sz val="11"/>
      <color rgb="FFFFFF00"/>
      <name val="Arial"/>
      <family val="2"/>
    </font>
    <font>
      <b/>
      <sz val="16"/>
      <color rgb="FFFFFF00"/>
      <name val="Arial"/>
      <family val="2"/>
    </font>
    <font>
      <sz val="18"/>
      <name val="Arial"/>
      <family val="2"/>
    </font>
    <font>
      <b/>
      <sz val="9"/>
      <color indexed="81"/>
      <name val="Tahoma"/>
      <family val="2"/>
    </font>
    <font>
      <b/>
      <sz val="9"/>
      <name val="Andalus"/>
      <family val="1"/>
    </font>
    <font>
      <b/>
      <sz val="8"/>
      <name val="Andalus"/>
      <family val="1"/>
    </font>
    <font>
      <b/>
      <sz val="10"/>
      <name val="Times New Roman"/>
      <family val="1"/>
    </font>
    <font>
      <b/>
      <sz val="12"/>
      <color theme="9" tint="0.59999389629810485"/>
      <name val="Arial"/>
      <family val="2"/>
    </font>
    <font>
      <b/>
      <sz val="14"/>
      <color theme="9" tint="0.59999389629810485"/>
      <name val="Arial"/>
      <family val="2"/>
    </font>
    <font>
      <b/>
      <sz val="11"/>
      <color theme="9" tint="0.5999938962981048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b/>
      <sz val="14"/>
      <name val="Arial"/>
      <family val="2"/>
    </font>
    <font>
      <b/>
      <sz val="12"/>
      <name val="Andalus"/>
      <family val="1"/>
    </font>
    <font>
      <b/>
      <sz val="12"/>
      <color rgb="FFFFFF00"/>
      <name val="Engravers MT"/>
      <family val="1"/>
    </font>
    <font>
      <b/>
      <sz val="10"/>
      <name val="Castellar"/>
      <family val="1"/>
    </font>
    <font>
      <b/>
      <sz val="10"/>
      <name val="Andalus"/>
      <family val="1"/>
    </font>
    <font>
      <b/>
      <sz val="12"/>
      <name val="Castellar"/>
      <family val="1"/>
    </font>
    <font>
      <b/>
      <i/>
      <sz val="12"/>
      <color rgb="FFFFFF00"/>
      <name val="Castellar"/>
      <family val="1"/>
    </font>
    <font>
      <b/>
      <sz val="12"/>
      <color rgb="FFFFFF00"/>
      <name val="Castellar"/>
      <family val="1"/>
    </font>
    <font>
      <b/>
      <i/>
      <sz val="18"/>
      <color rgb="FF003300"/>
      <name val="Arial"/>
      <family val="2"/>
    </font>
    <font>
      <sz val="11"/>
      <color rgb="FF0033CC"/>
      <name val="Arial"/>
      <family val="2"/>
    </font>
    <font>
      <sz val="14"/>
      <color rgb="FFFFFF00"/>
      <name val="Arial"/>
      <family val="2"/>
    </font>
    <font>
      <b/>
      <sz val="9"/>
      <color indexed="81"/>
      <name val="Tahoma"/>
    </font>
    <font>
      <sz val="9"/>
      <color indexed="81"/>
      <name val="Tahoma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3B38B"/>
        <bgColor indexed="64"/>
      </patternFill>
    </fill>
    <fill>
      <patternFill patternType="solid">
        <fgColor rgb="FFBA5F46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114AC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DashDotDot">
        <color rgb="FFFFFF00"/>
      </left>
      <right style="mediumDashDotDot">
        <color rgb="FFFFFF00"/>
      </right>
      <top style="mediumDashDotDot">
        <color rgb="FFFFFF00"/>
      </top>
      <bottom style="mediumDashDotDot">
        <color rgb="FFFFFF00"/>
      </bottom>
      <diagonal/>
    </border>
    <border>
      <left style="mediumDashDotDot">
        <color rgb="FFFFFF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0">
    <xf numFmtId="0" fontId="0" fillId="0" borderId="0" xfId="0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165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0" fontId="5" fillId="2" borderId="6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165" fontId="1" fillId="4" borderId="3" xfId="0" applyNumberFormat="1" applyFont="1" applyFill="1" applyBorder="1" applyAlignment="1" applyProtection="1">
      <alignment horizontal="center" vertical="center"/>
    </xf>
    <xf numFmtId="0" fontId="10" fillId="0" borderId="0" xfId="0" applyFont="1"/>
    <xf numFmtId="0" fontId="5" fillId="5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8" fillId="4" borderId="4" xfId="0" applyFont="1" applyFill="1" applyBorder="1" applyAlignment="1" applyProtection="1">
      <alignment horizontal="right" vertical="center"/>
    </xf>
    <xf numFmtId="165" fontId="1" fillId="0" borderId="3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/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3" borderId="4" xfId="0" applyFont="1" applyFill="1" applyBorder="1" applyAlignment="1" applyProtection="1">
      <protection locked="0"/>
    </xf>
    <xf numFmtId="165" fontId="1" fillId="0" borderId="0" xfId="0" applyNumberFormat="1" applyFont="1" applyBorder="1"/>
    <xf numFmtId="165" fontId="1" fillId="0" borderId="5" xfId="0" applyNumberFormat="1" applyFont="1" applyBorder="1"/>
    <xf numFmtId="0" fontId="1" fillId="4" borderId="0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0" fillId="4" borderId="5" xfId="0" applyFill="1" applyBorder="1" applyProtection="1"/>
    <xf numFmtId="0" fontId="1" fillId="4" borderId="0" xfId="0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8" fillId="4" borderId="2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5" fillId="4" borderId="0" xfId="0" applyFont="1" applyFill="1" applyAlignment="1" applyProtection="1">
      <alignment horizontal="center" vertical="center"/>
    </xf>
    <xf numFmtId="0" fontId="0" fillId="4" borderId="0" xfId="0" applyFill="1" applyProtection="1">
      <protection locked="0"/>
    </xf>
    <xf numFmtId="0" fontId="8" fillId="4" borderId="24" xfId="0" applyFont="1" applyFill="1" applyBorder="1" applyAlignment="1" applyProtection="1">
      <alignment horizontal="right" vertical="center"/>
    </xf>
    <xf numFmtId="1" fontId="8" fillId="4" borderId="24" xfId="0" applyNumberFormat="1" applyFont="1" applyFill="1" applyBorder="1" applyAlignment="1" applyProtection="1">
      <alignment horizontal="right" vertical="center"/>
    </xf>
    <xf numFmtId="164" fontId="5" fillId="4" borderId="6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15" fillId="0" borderId="0" xfId="0" applyFont="1" applyProtection="1"/>
    <xf numFmtId="0" fontId="15" fillId="0" borderId="0" xfId="0" applyFont="1"/>
    <xf numFmtId="0" fontId="16" fillId="0" borderId="0" xfId="0" applyFont="1" applyProtection="1">
      <protection locked="0"/>
    </xf>
    <xf numFmtId="0" fontId="15" fillId="7" borderId="0" xfId="0" applyFont="1" applyFill="1" applyProtection="1"/>
    <xf numFmtId="0" fontId="16" fillId="4" borderId="0" xfId="0" applyFont="1" applyFill="1" applyProtection="1">
      <protection locked="0"/>
    </xf>
    <xf numFmtId="0" fontId="1" fillId="0" borderId="0" xfId="0" applyFont="1" applyBorder="1" applyAlignment="1" applyProtection="1">
      <alignment horizontal="left" vertical="center"/>
    </xf>
    <xf numFmtId="167" fontId="1" fillId="4" borderId="4" xfId="0" applyNumberFormat="1" applyFont="1" applyFill="1" applyBorder="1" applyAlignment="1" applyProtection="1">
      <alignment horizontal="center" vertical="center" wrapText="1"/>
    </xf>
    <xf numFmtId="14" fontId="1" fillId="4" borderId="2" xfId="0" applyNumberFormat="1" applyFont="1" applyFill="1" applyBorder="1" applyAlignment="1" applyProtection="1">
      <alignment vertical="center"/>
      <protection locked="0"/>
    </xf>
    <xf numFmtId="49" fontId="1" fillId="0" borderId="2" xfId="0" applyNumberFormat="1" applyFont="1" applyBorder="1" applyAlignment="1">
      <alignment vertical="center"/>
    </xf>
    <xf numFmtId="3" fontId="1" fillId="4" borderId="0" xfId="0" applyNumberFormat="1" applyFont="1" applyFill="1" applyBorder="1" applyAlignment="1" applyProtection="1">
      <alignment vertical="center"/>
    </xf>
    <xf numFmtId="0" fontId="1" fillId="0" borderId="2" xfId="0" applyFont="1" applyBorder="1" applyAlignment="1"/>
    <xf numFmtId="0" fontId="1" fillId="0" borderId="7" xfId="0" applyFont="1" applyBorder="1" applyAlignment="1"/>
    <xf numFmtId="49" fontId="1" fillId="0" borderId="2" xfId="0" applyNumberFormat="1" applyFont="1" applyBorder="1" applyAlignment="1">
      <alignment horizontal="center" vertical="center"/>
    </xf>
    <xf numFmtId="0" fontId="0" fillId="0" borderId="0" xfId="0" applyAlignment="1" applyProtection="1">
      <alignment horizontal="right"/>
    </xf>
    <xf numFmtId="3" fontId="1" fillId="2" borderId="4" xfId="0" applyNumberFormat="1" applyFont="1" applyFill="1" applyBorder="1" applyAlignment="1">
      <alignment horizontal="right" vertical="center"/>
    </xf>
    <xf numFmtId="166" fontId="1" fillId="0" borderId="0" xfId="0" applyNumberFormat="1" applyFont="1" applyBorder="1" applyAlignment="1">
      <alignment vertical="center"/>
    </xf>
    <xf numFmtId="14" fontId="1" fillId="4" borderId="4" xfId="0" applyNumberFormat="1" applyFont="1" applyFill="1" applyBorder="1" applyAlignment="1" applyProtection="1">
      <alignment horizontal="center" vertical="center" wrapText="1"/>
    </xf>
    <xf numFmtId="165" fontId="1" fillId="4" borderId="4" xfId="0" applyNumberFormat="1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right" vertical="center"/>
    </xf>
    <xf numFmtId="3" fontId="1" fillId="4" borderId="4" xfId="0" applyNumberFormat="1" applyFont="1" applyFill="1" applyBorder="1" applyAlignment="1" applyProtection="1">
      <alignment horizontal="right" vertical="center"/>
    </xf>
    <xf numFmtId="3" fontId="1" fillId="4" borderId="3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>
      <alignment horizontal="right" vertical="center"/>
    </xf>
    <xf numFmtId="0" fontId="12" fillId="6" borderId="0" xfId="0" applyFont="1" applyFill="1" applyAlignment="1" applyProtection="1">
      <alignment horizontal="center" vertical="center"/>
    </xf>
    <xf numFmtId="0" fontId="1" fillId="0" borderId="29" xfId="0" applyFont="1" applyFill="1" applyBorder="1" applyAlignment="1">
      <alignment horizontal="left" vertical="center"/>
    </xf>
    <xf numFmtId="166" fontId="7" fillId="4" borderId="0" xfId="0" applyNumberFormat="1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left" vertical="center"/>
    </xf>
    <xf numFmtId="1" fontId="0" fillId="0" borderId="0" xfId="0" applyNumberFormat="1" applyAlignment="1">
      <alignment horizontal="right" vertical="center"/>
    </xf>
    <xf numFmtId="1" fontId="12" fillId="6" borderId="0" xfId="0" applyNumberFormat="1" applyFont="1" applyFill="1" applyAlignment="1" applyProtection="1">
      <alignment horizontal="center" vertical="center"/>
    </xf>
    <xf numFmtId="0" fontId="0" fillId="7" borderId="0" xfId="0" applyFill="1"/>
    <xf numFmtId="0" fontId="0" fillId="4" borderId="0" xfId="0" applyFill="1"/>
    <xf numFmtId="3" fontId="1" fillId="0" borderId="0" xfId="0" applyNumberFormat="1" applyFont="1" applyBorder="1" applyAlignment="1">
      <alignment horizontal="center"/>
    </xf>
    <xf numFmtId="0" fontId="8" fillId="4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vertical="center"/>
      <protection locked="0"/>
    </xf>
    <xf numFmtId="14" fontId="1" fillId="4" borderId="2" xfId="0" applyNumberFormat="1" applyFont="1" applyFill="1" applyBorder="1" applyAlignment="1" applyProtection="1">
      <alignment horizontal="left" vertical="center"/>
    </xf>
    <xf numFmtId="166" fontId="1" fillId="4" borderId="0" xfId="0" applyNumberFormat="1" applyFont="1" applyFill="1" applyBorder="1" applyAlignment="1">
      <alignment vertical="center"/>
    </xf>
    <xf numFmtId="0" fontId="10" fillId="0" borderId="0" xfId="0" applyFont="1" applyProtection="1"/>
    <xf numFmtId="0" fontId="17" fillId="4" borderId="0" xfId="0" applyNumberFormat="1" applyFont="1" applyFill="1" applyAlignment="1" applyProtection="1">
      <alignment horizontal="center" vertical="center"/>
    </xf>
    <xf numFmtId="166" fontId="1" fillId="0" borderId="0" xfId="0" applyNumberFormat="1" applyFont="1" applyBorder="1" applyAlignment="1">
      <alignment horizontal="right" vertical="center"/>
    </xf>
    <xf numFmtId="0" fontId="12" fillId="4" borderId="0" xfId="0" applyFont="1" applyFill="1" applyAlignment="1" applyProtection="1">
      <alignment horizontal="center" vertical="center"/>
    </xf>
    <xf numFmtId="0" fontId="0" fillId="8" borderId="0" xfId="0" applyFill="1" applyAlignment="1">
      <alignment vertical="center"/>
    </xf>
    <xf numFmtId="0" fontId="15" fillId="0" borderId="0" xfId="0" applyFont="1" applyAlignment="1">
      <alignment horizontal="left"/>
    </xf>
    <xf numFmtId="0" fontId="0" fillId="0" borderId="0" xfId="0" applyBorder="1" applyAlignment="1">
      <alignment vertical="center" textRotation="90"/>
    </xf>
    <xf numFmtId="166" fontId="1" fillId="0" borderId="0" xfId="0" applyNumberFormat="1" applyFont="1" applyBorder="1" applyAlignment="1">
      <alignment horizontal="right" vertical="center"/>
    </xf>
    <xf numFmtId="166" fontId="1" fillId="0" borderId="0" xfId="0" applyNumberFormat="1" applyFont="1" applyBorder="1" applyAlignment="1">
      <alignment horizontal="right" vertical="center"/>
    </xf>
    <xf numFmtId="166" fontId="0" fillId="0" borderId="0" xfId="0" applyNumberFormat="1"/>
    <xf numFmtId="166" fontId="0" fillId="0" borderId="0" xfId="0" applyNumberFormat="1" applyAlignment="1">
      <alignment horizontal="right" vertical="center"/>
    </xf>
    <xf numFmtId="170" fontId="1" fillId="0" borderId="0" xfId="0" applyNumberFormat="1" applyFont="1" applyBorder="1" applyAlignment="1" applyProtection="1">
      <alignment horizontal="right" vertical="center"/>
    </xf>
    <xf numFmtId="0" fontId="15" fillId="4" borderId="0" xfId="0" applyFont="1" applyFill="1" applyAlignment="1">
      <alignment horizontal="left" vertical="center"/>
    </xf>
    <xf numFmtId="3" fontId="0" fillId="0" borderId="0" xfId="0" applyNumberFormat="1"/>
    <xf numFmtId="1" fontId="8" fillId="4" borderId="0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3" fontId="9" fillId="4" borderId="31" xfId="0" applyNumberFormat="1" applyFont="1" applyFill="1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49" fontId="1" fillId="0" borderId="27" xfId="0" applyNumberFormat="1" applyFont="1" applyBorder="1" applyAlignment="1">
      <alignment vertical="center"/>
    </xf>
    <xf numFmtId="0" fontId="1" fillId="0" borderId="27" xfId="0" applyNumberFormat="1" applyFont="1" applyBorder="1" applyAlignment="1">
      <alignment vertical="center"/>
    </xf>
    <xf numFmtId="0" fontId="1" fillId="0" borderId="25" xfId="0" applyNumberFormat="1" applyFont="1" applyBorder="1" applyAlignment="1">
      <alignment horizontal="left" vertical="center"/>
    </xf>
    <xf numFmtId="0" fontId="1" fillId="0" borderId="25" xfId="0" applyNumberFormat="1" applyFont="1" applyBorder="1" applyAlignment="1">
      <alignment vertical="center"/>
    </xf>
    <xf numFmtId="0" fontId="1" fillId="0" borderId="23" xfId="0" applyNumberFormat="1" applyFont="1" applyBorder="1" applyAlignment="1">
      <alignment vertical="center"/>
    </xf>
    <xf numFmtId="49" fontId="8" fillId="0" borderId="2" xfId="0" applyNumberFormat="1" applyFont="1" applyBorder="1" applyAlignment="1">
      <alignment horizontal="center" vertical="center"/>
    </xf>
    <xf numFmtId="3" fontId="1" fillId="4" borderId="4" xfId="0" applyNumberFormat="1" applyFont="1" applyFill="1" applyBorder="1" applyAlignment="1" applyProtection="1">
      <alignment horizont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3" fontId="1" fillId="3" borderId="4" xfId="0" applyNumberFormat="1" applyFont="1" applyFill="1" applyBorder="1" applyAlignment="1" applyProtection="1">
      <alignment horizontal="right" vertical="center"/>
      <protection locked="0"/>
    </xf>
    <xf numFmtId="0" fontId="1" fillId="4" borderId="0" xfId="0" applyNumberFormat="1" applyFont="1" applyFill="1" applyBorder="1" applyAlignment="1" applyProtection="1">
      <alignment vertical="center"/>
    </xf>
    <xf numFmtId="0" fontId="9" fillId="0" borderId="1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protection locked="0"/>
    </xf>
    <xf numFmtId="3" fontId="1" fillId="4" borderId="4" xfId="0" applyNumberFormat="1" applyFont="1" applyFill="1" applyBorder="1" applyAlignment="1">
      <alignment horizontal="right" vertical="center"/>
    </xf>
    <xf numFmtId="3" fontId="1" fillId="0" borderId="4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4" borderId="0" xfId="0" applyFont="1" applyFill="1" applyBorder="1" applyAlignment="1" applyProtection="1"/>
    <xf numFmtId="0" fontId="1" fillId="0" borderId="0" xfId="0" applyFont="1" applyFill="1" applyBorder="1" applyAlignment="1"/>
    <xf numFmtId="0" fontId="8" fillId="4" borderId="0" xfId="0" applyFont="1" applyFill="1" applyBorder="1" applyAlignment="1" applyProtection="1"/>
    <xf numFmtId="0" fontId="1" fillId="0" borderId="1" xfId="0" applyFont="1" applyFill="1" applyBorder="1" applyAlignment="1"/>
    <xf numFmtId="0" fontId="1" fillId="0" borderId="0" xfId="0" applyFont="1" applyBorder="1" applyAlignment="1"/>
    <xf numFmtId="166" fontId="5" fillId="0" borderId="0" xfId="0" applyNumberFormat="1" applyFont="1" applyBorder="1" applyAlignment="1"/>
    <xf numFmtId="0" fontId="8" fillId="0" borderId="0" xfId="0" applyFont="1" applyBorder="1" applyAlignment="1">
      <alignment horizontal="left"/>
    </xf>
    <xf numFmtId="0" fontId="1" fillId="4" borderId="0" xfId="0" applyFont="1" applyFill="1" applyBorder="1" applyAlignment="1" applyProtection="1">
      <alignment horizontal="center"/>
    </xf>
    <xf numFmtId="0" fontId="8" fillId="4" borderId="20" xfId="0" applyFont="1" applyFill="1" applyBorder="1" applyAlignment="1" applyProtection="1"/>
    <xf numFmtId="3" fontId="8" fillId="0" borderId="4" xfId="0" applyNumberFormat="1" applyFont="1" applyBorder="1" applyAlignment="1"/>
    <xf numFmtId="166" fontId="1" fillId="0" borderId="0" xfId="0" applyNumberFormat="1" applyFont="1" applyBorder="1" applyAlignment="1"/>
    <xf numFmtId="166" fontId="1" fillId="0" borderId="5" xfId="0" applyNumberFormat="1" applyFont="1" applyBorder="1" applyAlignment="1"/>
    <xf numFmtId="0" fontId="1" fillId="0" borderId="5" xfId="0" applyFont="1" applyBorder="1" applyAlignment="1"/>
    <xf numFmtId="3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left"/>
    </xf>
    <xf numFmtId="3" fontId="9" fillId="0" borderId="5" xfId="0" applyNumberFormat="1" applyFont="1" applyBorder="1" applyAlignment="1">
      <alignment vertical="center" wrapText="1"/>
    </xf>
    <xf numFmtId="3" fontId="9" fillId="4" borderId="5" xfId="0" applyNumberFormat="1" applyFont="1" applyFill="1" applyBorder="1" applyProtection="1"/>
    <xf numFmtId="3" fontId="9" fillId="0" borderId="5" xfId="0" applyNumberFormat="1" applyFont="1" applyBorder="1"/>
    <xf numFmtId="3" fontId="1" fillId="0" borderId="5" xfId="0" applyNumberFormat="1" applyFont="1" applyBorder="1"/>
    <xf numFmtId="3" fontId="9" fillId="0" borderId="5" xfId="0" applyNumberFormat="1" applyFont="1" applyBorder="1" applyAlignment="1">
      <alignment vertical="center"/>
    </xf>
    <xf numFmtId="3" fontId="9" fillId="0" borderId="5" xfId="0" applyNumberFormat="1" applyFont="1" applyBorder="1" applyAlignment="1"/>
    <xf numFmtId="3" fontId="1" fillId="0" borderId="0" xfId="0" applyNumberFormat="1" applyFont="1" applyBorder="1"/>
    <xf numFmtId="3" fontId="9" fillId="4" borderId="0" xfId="0" applyNumberFormat="1" applyFont="1" applyFill="1" applyBorder="1" applyAlignment="1" applyProtection="1">
      <alignment horizontal="right" vertical="center"/>
    </xf>
    <xf numFmtId="0" fontId="8" fillId="4" borderId="0" xfId="0" applyFont="1" applyFill="1" applyBorder="1" applyAlignment="1" applyProtection="1">
      <protection locked="0"/>
    </xf>
    <xf numFmtId="0" fontId="1" fillId="0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 applyProtection="1">
      <alignment horizontal="center"/>
    </xf>
    <xf numFmtId="0" fontId="1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 vertical="center" textRotation="90"/>
    </xf>
    <xf numFmtId="3" fontId="1" fillId="4" borderId="5" xfId="0" applyNumberFormat="1" applyFont="1" applyFill="1" applyBorder="1" applyAlignment="1" applyProtection="1">
      <alignment horizontal="right" vertical="center"/>
    </xf>
    <xf numFmtId="0" fontId="4" fillId="0" borderId="10" xfId="0" applyFont="1" applyBorder="1" applyAlignment="1">
      <alignment horizontal="center" vertical="center" textRotation="90"/>
    </xf>
    <xf numFmtId="0" fontId="1" fillId="4" borderId="2" xfId="0" applyFont="1" applyFill="1" applyBorder="1" applyAlignment="1" applyProtection="1">
      <alignment horizontal="right" vertical="center"/>
    </xf>
    <xf numFmtId="0" fontId="0" fillId="0" borderId="0" xfId="0" applyBorder="1" applyProtection="1"/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8" fillId="3" borderId="0" xfId="0" applyFont="1" applyFill="1" applyBorder="1" applyAlignment="1" applyProtection="1"/>
    <xf numFmtId="0" fontId="1" fillId="0" borderId="0" xfId="0" applyFont="1" applyBorder="1" applyAlignment="1" applyProtection="1">
      <alignment vertical="center"/>
    </xf>
    <xf numFmtId="3" fontId="1" fillId="0" borderId="0" xfId="0" applyNumberFormat="1" applyFont="1" applyBorder="1" applyAlignment="1" applyProtection="1">
      <alignment vertical="center"/>
    </xf>
    <xf numFmtId="0" fontId="10" fillId="9" borderId="1" xfId="0" applyFont="1" applyFill="1" applyBorder="1" applyAlignment="1">
      <alignment horizontal="left" vertical="center"/>
    </xf>
    <xf numFmtId="0" fontId="10" fillId="9" borderId="0" xfId="0" applyFont="1" applyFill="1" applyBorder="1" applyAlignment="1">
      <alignment horizontal="left" vertical="center"/>
    </xf>
    <xf numFmtId="14" fontId="10" fillId="9" borderId="0" xfId="0" applyNumberFormat="1" applyFont="1" applyFill="1" applyBorder="1" applyAlignment="1">
      <alignment horizontal="left" vertical="center"/>
    </xf>
    <xf numFmtId="0" fontId="10" fillId="9" borderId="1" xfId="0" applyFont="1" applyFill="1" applyBorder="1" applyAlignment="1">
      <alignment horizontal="left" vertical="center" wrapText="1"/>
    </xf>
    <xf numFmtId="0" fontId="10" fillId="9" borderId="0" xfId="0" applyFont="1" applyFill="1" applyBorder="1" applyAlignment="1">
      <alignment horizontal="center" vertical="center"/>
    </xf>
    <xf numFmtId="0" fontId="10" fillId="9" borderId="0" xfId="0" applyFont="1" applyFill="1" applyBorder="1"/>
    <xf numFmtId="0" fontId="10" fillId="9" borderId="0" xfId="0" applyFont="1" applyFill="1" applyBorder="1" applyAlignment="1">
      <alignment vertical="center"/>
    </xf>
    <xf numFmtId="49" fontId="1" fillId="4" borderId="2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/>
    </xf>
    <xf numFmtId="3" fontId="1" fillId="4" borderId="0" xfId="0" applyNumberFormat="1" applyFont="1" applyFill="1" applyBorder="1" applyAlignment="1" applyProtection="1">
      <alignment horizontal="right" vertical="center"/>
    </xf>
    <xf numFmtId="0" fontId="1" fillId="4" borderId="0" xfId="0" applyFont="1" applyFill="1" applyBorder="1" applyAlignment="1" applyProtection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4" borderId="0" xfId="0" applyFont="1" applyFill="1" applyBorder="1" applyAlignment="1" applyProtection="1">
      <alignment horizontal="left" vertical="center" wrapText="1"/>
    </xf>
    <xf numFmtId="0" fontId="7" fillId="4" borderId="5" xfId="0" applyFont="1" applyFill="1" applyBorder="1" applyAlignment="1" applyProtection="1">
      <alignment horizontal="left" vertical="center" wrapText="1"/>
    </xf>
    <xf numFmtId="0" fontId="5" fillId="4" borderId="0" xfId="0" applyFont="1" applyFill="1" applyBorder="1" applyAlignment="1" applyProtection="1"/>
    <xf numFmtId="0" fontId="1" fillId="4" borderId="0" xfId="0" applyFont="1" applyFill="1" applyBorder="1" applyAlignment="1" applyProtection="1">
      <alignment horizontal="center" wrapText="1"/>
    </xf>
    <xf numFmtId="49" fontId="28" fillId="4" borderId="0" xfId="0" applyNumberFormat="1" applyFont="1" applyFill="1" applyBorder="1" applyAlignment="1" applyProtection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3" fontId="7" fillId="0" borderId="5" xfId="0" applyNumberFormat="1" applyFont="1" applyBorder="1" applyAlignment="1"/>
    <xf numFmtId="3" fontId="7" fillId="0" borderId="5" xfId="0" applyNumberFormat="1" applyFont="1" applyBorder="1" applyAlignment="1">
      <alignment horizontal="right"/>
    </xf>
    <xf numFmtId="0" fontId="34" fillId="0" borderId="0" xfId="0" applyFont="1" applyBorder="1" applyAlignment="1"/>
    <xf numFmtId="3" fontId="4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3" fontId="0" fillId="0" borderId="0" xfId="0" applyNumberFormat="1" applyProtection="1"/>
    <xf numFmtId="3" fontId="0" fillId="0" borderId="0" xfId="0" applyNumberFormat="1" applyAlignment="1" applyProtection="1">
      <alignment horizontal="right"/>
    </xf>
    <xf numFmtId="0" fontId="1" fillId="0" borderId="1" xfId="0" applyFont="1" applyBorder="1" applyAlignment="1">
      <alignment horizontal="left" vertical="center"/>
    </xf>
    <xf numFmtId="168" fontId="1" fillId="0" borderId="4" xfId="0" applyNumberFormat="1" applyFont="1" applyBorder="1" applyAlignment="1">
      <alignment horizontal="center" vertical="center"/>
    </xf>
    <xf numFmtId="49" fontId="26" fillId="4" borderId="2" xfId="0" applyNumberFormat="1" applyFont="1" applyFill="1" applyBorder="1" applyAlignment="1" applyProtection="1">
      <alignment vertical="top" wrapText="1"/>
    </xf>
    <xf numFmtId="168" fontId="1" fillId="0" borderId="2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49" fontId="37" fillId="4" borderId="0" xfId="0" applyNumberFormat="1" applyFont="1" applyFill="1" applyBorder="1" applyAlignment="1" applyProtection="1">
      <alignment vertical="center"/>
    </xf>
    <xf numFmtId="3" fontId="7" fillId="4" borderId="5" xfId="0" applyNumberFormat="1" applyFont="1" applyFill="1" applyBorder="1" applyAlignment="1"/>
    <xf numFmtId="3" fontId="7" fillId="3" borderId="5" xfId="0" applyNumberFormat="1" applyFont="1" applyFill="1" applyBorder="1" applyAlignment="1" applyProtection="1">
      <protection locked="0"/>
    </xf>
    <xf numFmtId="3" fontId="7" fillId="4" borderId="5" xfId="0" applyNumberFormat="1" applyFont="1" applyFill="1" applyBorder="1" applyAlignment="1" applyProtection="1"/>
    <xf numFmtId="3" fontId="7" fillId="0" borderId="3" xfId="0" applyNumberFormat="1" applyFont="1" applyBorder="1" applyAlignment="1"/>
    <xf numFmtId="49" fontId="37" fillId="0" borderId="0" xfId="0" applyNumberFormat="1" applyFont="1" applyBorder="1"/>
    <xf numFmtId="49" fontId="37" fillId="0" borderId="2" xfId="0" applyNumberFormat="1" applyFont="1" applyBorder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13" fillId="11" borderId="0" xfId="0" applyFont="1" applyFill="1" applyBorder="1" applyProtection="1"/>
    <xf numFmtId="0" fontId="13" fillId="11" borderId="5" xfId="0" applyFont="1" applyFill="1" applyBorder="1" applyProtection="1"/>
    <xf numFmtId="0" fontId="13" fillId="11" borderId="0" xfId="0" applyFont="1" applyFill="1" applyBorder="1" applyAlignment="1" applyProtection="1">
      <alignment horizontal="center" vertical="center"/>
    </xf>
    <xf numFmtId="0" fontId="41" fillId="11" borderId="0" xfId="0" applyFont="1" applyFill="1" applyProtection="1"/>
    <xf numFmtId="0" fontId="13" fillId="11" borderId="0" xfId="0" applyFont="1" applyFill="1" applyProtection="1"/>
    <xf numFmtId="0" fontId="13" fillId="11" borderId="0" xfId="0" applyNumberFormat="1" applyFont="1" applyFill="1" applyAlignment="1" applyProtection="1">
      <alignment horizontal="center" vertical="center"/>
      <protection locked="0"/>
    </xf>
    <xf numFmtId="49" fontId="18" fillId="11" borderId="0" xfId="0" applyNumberFormat="1" applyFont="1" applyFill="1" applyBorder="1" applyAlignment="1">
      <alignment horizontal="left" vertical="center"/>
    </xf>
    <xf numFmtId="0" fontId="29" fillId="11" borderId="30" xfId="0" applyFont="1" applyFill="1" applyBorder="1" applyAlignment="1" applyProtection="1">
      <alignment horizontal="center" vertical="center"/>
    </xf>
    <xf numFmtId="0" fontId="30" fillId="11" borderId="30" xfId="0" applyFont="1" applyFill="1" applyBorder="1" applyAlignment="1" applyProtection="1">
      <alignment horizontal="center" vertical="center"/>
    </xf>
    <xf numFmtId="0" fontId="31" fillId="11" borderId="30" xfId="0" applyFont="1" applyFill="1" applyBorder="1" applyAlignment="1" applyProtection="1">
      <alignment horizontal="center" vertical="center"/>
    </xf>
    <xf numFmtId="3" fontId="22" fillId="11" borderId="30" xfId="0" applyNumberFormat="1" applyFont="1" applyFill="1" applyBorder="1" applyAlignment="1" applyProtection="1">
      <alignment horizontal="center" vertical="center"/>
      <protection locked="0"/>
    </xf>
    <xf numFmtId="49" fontId="22" fillId="11" borderId="30" xfId="0" applyNumberFormat="1" applyFont="1" applyFill="1" applyBorder="1" applyAlignment="1" applyProtection="1">
      <alignment horizontal="center" vertical="center"/>
      <protection locked="0"/>
    </xf>
    <xf numFmtId="49" fontId="22" fillId="11" borderId="0" xfId="0" applyNumberFormat="1" applyFont="1" applyFill="1" applyBorder="1" applyAlignment="1" applyProtection="1">
      <alignment horizontal="center" vertical="center"/>
    </xf>
    <xf numFmtId="0" fontId="13" fillId="11" borderId="0" xfId="0" applyFont="1" applyFill="1" applyBorder="1" applyAlignment="1" applyProtection="1">
      <alignment horizontal="center" vertical="center"/>
      <protection locked="0"/>
    </xf>
    <xf numFmtId="0" fontId="13" fillId="11" borderId="0" xfId="0" applyFont="1" applyFill="1" applyAlignment="1" applyProtection="1">
      <alignment horizontal="center" vertical="center"/>
    </xf>
    <xf numFmtId="0" fontId="18" fillId="11" borderId="0" xfId="0" applyNumberFormat="1" applyFont="1" applyFill="1" applyBorder="1" applyAlignment="1">
      <alignment horizontal="center" vertical="center"/>
    </xf>
    <xf numFmtId="0" fontId="31" fillId="11" borderId="30" xfId="0" applyFont="1" applyFill="1" applyBorder="1" applyAlignment="1">
      <alignment horizontal="center" vertical="center"/>
    </xf>
    <xf numFmtId="49" fontId="13" fillId="11" borderId="0" xfId="0" applyNumberFormat="1" applyFont="1" applyFill="1" applyBorder="1" applyAlignment="1" applyProtection="1">
      <alignment horizontal="center" vertical="center"/>
      <protection locked="0"/>
    </xf>
    <xf numFmtId="0" fontId="23" fillId="11" borderId="0" xfId="0" applyFont="1" applyFill="1" applyBorder="1" applyAlignment="1" applyProtection="1">
      <alignment horizontal="center" vertical="center"/>
      <protection locked="0"/>
    </xf>
    <xf numFmtId="0" fontId="13" fillId="11" borderId="0" xfId="0" applyFont="1" applyFill="1" applyBorder="1" applyAlignment="1">
      <alignment horizontal="left" vertical="center"/>
    </xf>
    <xf numFmtId="0" fontId="22" fillId="11" borderId="0" xfId="0" applyFont="1" applyFill="1" applyBorder="1" applyAlignment="1" applyProtection="1">
      <alignment horizontal="center" vertical="center"/>
    </xf>
    <xf numFmtId="3" fontId="22" fillId="11" borderId="0" xfId="0" applyNumberFormat="1" applyFont="1" applyFill="1" applyBorder="1" applyAlignment="1" applyProtection="1">
      <alignment horizontal="center" vertical="center"/>
    </xf>
    <xf numFmtId="0" fontId="19" fillId="11" borderId="0" xfId="0" applyFont="1" applyFill="1" applyProtection="1"/>
    <xf numFmtId="14" fontId="13" fillId="11" borderId="0" xfId="0" applyNumberFormat="1" applyFont="1" applyFill="1" applyBorder="1" applyAlignment="1" applyProtection="1">
      <alignment horizontal="center" vertical="center"/>
      <protection locked="0"/>
    </xf>
    <xf numFmtId="0" fontId="19" fillId="11" borderId="0" xfId="0" applyFont="1" applyFill="1"/>
    <xf numFmtId="3" fontId="13" fillId="11" borderId="0" xfId="0" applyNumberFormat="1" applyFont="1" applyFill="1" applyBorder="1" applyAlignment="1" applyProtection="1">
      <alignment horizontal="center" vertical="center"/>
      <protection locked="0"/>
    </xf>
    <xf numFmtId="0" fontId="13" fillId="11" borderId="0" xfId="0" applyFont="1" applyFill="1" applyBorder="1"/>
    <xf numFmtId="0" fontId="19" fillId="11" borderId="0" xfId="0" applyFont="1" applyFill="1" applyBorder="1"/>
    <xf numFmtId="0" fontId="19" fillId="11" borderId="5" xfId="0" applyFont="1" applyFill="1" applyBorder="1"/>
    <xf numFmtId="167" fontId="13" fillId="11" borderId="0" xfId="0" applyNumberFormat="1" applyFont="1" applyFill="1" applyBorder="1" applyAlignment="1" applyProtection="1">
      <alignment vertical="center"/>
    </xf>
    <xf numFmtId="0" fontId="13" fillId="11" borderId="0" xfId="0" applyFont="1" applyFill="1" applyBorder="1" applyAlignment="1" applyProtection="1">
      <alignment horizontal="left" vertical="center"/>
    </xf>
    <xf numFmtId="0" fontId="19" fillId="11" borderId="0" xfId="0" applyFont="1" applyFill="1" applyBorder="1" applyProtection="1"/>
    <xf numFmtId="0" fontId="43" fillId="12" borderId="22" xfId="0" applyFont="1" applyFill="1" applyBorder="1" applyAlignment="1">
      <alignment vertical="center"/>
    </xf>
    <xf numFmtId="0" fontId="43" fillId="12" borderId="25" xfId="0" applyFont="1" applyFill="1" applyBorder="1"/>
    <xf numFmtId="0" fontId="0" fillId="12" borderId="25" xfId="0" applyFill="1" applyBorder="1"/>
    <xf numFmtId="0" fontId="0" fillId="12" borderId="24" xfId="0" applyFill="1" applyBorder="1"/>
    <xf numFmtId="0" fontId="24" fillId="13" borderId="0" xfId="0" applyFont="1" applyFill="1" applyAlignment="1">
      <alignment vertical="center"/>
    </xf>
    <xf numFmtId="0" fontId="14" fillId="13" borderId="0" xfId="0" applyFont="1" applyFill="1"/>
    <xf numFmtId="0" fontId="44" fillId="13" borderId="0" xfId="0" applyFont="1" applyFill="1" applyAlignment="1">
      <alignment vertical="center"/>
    </xf>
    <xf numFmtId="0" fontId="44" fillId="13" borderId="0" xfId="0" applyFont="1" applyFill="1"/>
    <xf numFmtId="3" fontId="8" fillId="0" borderId="4" xfId="0" applyNumberFormat="1" applyFont="1" applyBorder="1" applyAlignment="1">
      <alignment horizontal="right"/>
    </xf>
    <xf numFmtId="3" fontId="1" fillId="3" borderId="4" xfId="0" applyNumberFormat="1" applyFont="1" applyFill="1" applyBorder="1" applyAlignment="1" applyProtection="1">
      <protection locked="0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4" borderId="4" xfId="0" applyNumberFormat="1" applyFont="1" applyFill="1" applyBorder="1" applyAlignment="1" applyProtection="1">
      <alignment horizontal="right"/>
    </xf>
    <xf numFmtId="3" fontId="1" fillId="3" borderId="4" xfId="0" applyNumberFormat="1" applyFont="1" applyFill="1" applyBorder="1" applyAlignment="1" applyProtection="1">
      <alignment horizontal="right"/>
      <protection locked="0"/>
    </xf>
    <xf numFmtId="0" fontId="1" fillId="4" borderId="1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0" fillId="0" borderId="13" xfId="0" applyBorder="1"/>
    <xf numFmtId="0" fontId="0" fillId="0" borderId="11" xfId="0" applyBorder="1"/>
    <xf numFmtId="0" fontId="0" fillId="0" borderId="12" xfId="0" applyBorder="1"/>
    <xf numFmtId="3" fontId="7" fillId="0" borderId="5" xfId="0" applyNumberFormat="1" applyFont="1" applyBorder="1" applyAlignment="1">
      <alignment horizontal="right" vertical="center"/>
    </xf>
    <xf numFmtId="3" fontId="34" fillId="0" borderId="5" xfId="0" applyNumberFormat="1" applyFont="1" applyBorder="1" applyAlignment="1">
      <alignment horizontal="right" vertical="center"/>
    </xf>
    <xf numFmtId="3" fontId="34" fillId="0" borderId="5" xfId="0" applyNumberFormat="1" applyFont="1" applyBorder="1" applyAlignment="1">
      <alignment vertical="center"/>
    </xf>
    <xf numFmtId="3" fontId="34" fillId="3" borderId="5" xfId="0" applyNumberFormat="1" applyFont="1" applyFill="1" applyBorder="1" applyAlignment="1" applyProtection="1">
      <alignment vertical="center"/>
      <protection locked="0"/>
    </xf>
    <xf numFmtId="0" fontId="0" fillId="0" borderId="4" xfId="0" applyBorder="1"/>
    <xf numFmtId="0" fontId="42" fillId="10" borderId="26" xfId="0" applyFont="1" applyFill="1" applyBorder="1" applyAlignment="1">
      <alignment horizontal="center" vertical="center"/>
    </xf>
    <xf numFmtId="0" fontId="42" fillId="10" borderId="27" xfId="0" applyFont="1" applyFill="1" applyBorder="1" applyAlignment="1">
      <alignment horizontal="center" vertical="center"/>
    </xf>
    <xf numFmtId="0" fontId="42" fillId="10" borderId="28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left" vertical="center" wrapText="1"/>
    </xf>
    <xf numFmtId="3" fontId="13" fillId="11" borderId="0" xfId="0" applyNumberFormat="1" applyFont="1" applyFill="1" applyBorder="1" applyAlignment="1" applyProtection="1">
      <alignment horizontal="center" vertical="center"/>
      <protection locked="0"/>
    </xf>
    <xf numFmtId="173" fontId="40" fillId="11" borderId="0" xfId="0" applyNumberFormat="1" applyFont="1" applyFill="1" applyBorder="1" applyAlignment="1" applyProtection="1">
      <alignment horizontal="left" vertical="center"/>
      <protection locked="0"/>
    </xf>
    <xf numFmtId="49" fontId="41" fillId="11" borderId="0" xfId="0" applyNumberFormat="1" applyFont="1" applyFill="1" applyBorder="1" applyAlignment="1" applyProtection="1">
      <alignment horizontal="left" vertical="center"/>
      <protection locked="0"/>
    </xf>
    <xf numFmtId="49" fontId="41" fillId="11" borderId="5" xfId="0" applyNumberFormat="1" applyFont="1" applyFill="1" applyBorder="1" applyAlignment="1" applyProtection="1">
      <alignment horizontal="left" vertical="center"/>
      <protection locked="0"/>
    </xf>
    <xf numFmtId="174" fontId="36" fillId="11" borderId="17" xfId="0" applyNumberFormat="1" applyFont="1" applyFill="1" applyBorder="1" applyAlignment="1" applyProtection="1">
      <alignment horizontal="left" vertical="center"/>
      <protection locked="0"/>
    </xf>
    <xf numFmtId="174" fontId="36" fillId="11" borderId="17" xfId="0" applyNumberFormat="1" applyFont="1" applyFill="1" applyBorder="1" applyProtection="1">
      <protection locked="0"/>
    </xf>
    <xf numFmtId="174" fontId="36" fillId="11" borderId="18" xfId="0" applyNumberFormat="1" applyFont="1" applyFill="1" applyBorder="1" applyProtection="1">
      <protection locked="0"/>
    </xf>
    <xf numFmtId="49" fontId="40" fillId="11" borderId="0" xfId="0" applyNumberFormat="1" applyFont="1" applyFill="1" applyBorder="1" applyAlignment="1" applyProtection="1">
      <alignment horizontal="left" vertical="center"/>
      <protection locked="0"/>
    </xf>
    <xf numFmtId="49" fontId="20" fillId="11" borderId="0" xfId="0" applyNumberFormat="1" applyFont="1" applyFill="1" applyBorder="1" applyAlignment="1" applyProtection="1">
      <alignment horizontal="left" vertical="center"/>
      <protection locked="0"/>
    </xf>
    <xf numFmtId="168" fontId="13" fillId="11" borderId="0" xfId="0" applyNumberFormat="1" applyFont="1" applyFill="1" applyBorder="1" applyAlignment="1" applyProtection="1">
      <alignment horizontal="left" vertical="center"/>
      <protection locked="0"/>
    </xf>
    <xf numFmtId="168" fontId="13" fillId="11" borderId="5" xfId="0" applyNumberFormat="1" applyFont="1" applyFill="1" applyBorder="1" applyAlignment="1" applyProtection="1">
      <alignment horizontal="left" vertical="center"/>
      <protection locked="0"/>
    </xf>
    <xf numFmtId="0" fontId="21" fillId="11" borderId="0" xfId="0" applyFont="1" applyFill="1" applyAlignment="1">
      <alignment horizontal="center" vertical="center"/>
    </xf>
    <xf numFmtId="0" fontId="13" fillId="11" borderId="0" xfId="0" applyFont="1" applyFill="1" applyBorder="1" applyAlignment="1" applyProtection="1">
      <alignment horizontal="left" vertical="center"/>
      <protection locked="0"/>
    </xf>
    <xf numFmtId="169" fontId="13" fillId="11" borderId="21" xfId="0" applyNumberFormat="1" applyFont="1" applyFill="1" applyBorder="1" applyAlignment="1" applyProtection="1">
      <alignment horizontal="center" vertical="center"/>
      <protection locked="0"/>
    </xf>
    <xf numFmtId="172" fontId="13" fillId="11" borderId="0" xfId="0" applyNumberFormat="1" applyFont="1" applyFill="1" applyBorder="1" applyAlignment="1" applyProtection="1">
      <alignment horizontal="left" vertical="center"/>
      <protection locked="0"/>
    </xf>
    <xf numFmtId="171" fontId="13" fillId="11" borderId="0" xfId="0" applyNumberFormat="1" applyFont="1" applyFill="1" applyBorder="1" applyAlignment="1" applyProtection="1">
      <alignment horizontal="left" vertical="center"/>
      <protection locked="0"/>
    </xf>
    <xf numFmtId="3" fontId="1" fillId="4" borderId="4" xfId="0" applyNumberFormat="1" applyFont="1" applyFill="1" applyBorder="1" applyAlignment="1" applyProtection="1">
      <alignment horizontal="right"/>
    </xf>
    <xf numFmtId="3" fontId="1" fillId="3" borderId="4" xfId="0" applyNumberFormat="1" applyFont="1" applyFill="1" applyBorder="1" applyAlignment="1" applyProtection="1">
      <alignment horizontal="right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32" fillId="3" borderId="0" xfId="0" applyFont="1" applyFill="1" applyBorder="1" applyAlignment="1" applyProtection="1">
      <alignment horizontal="center" vertical="center"/>
      <protection locked="0"/>
    </xf>
    <xf numFmtId="0" fontId="32" fillId="3" borderId="32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left" vertical="center"/>
      <protection locked="0"/>
    </xf>
    <xf numFmtId="49" fontId="38" fillId="4" borderId="0" xfId="0" applyNumberFormat="1" applyFont="1" applyFill="1" applyBorder="1" applyAlignment="1" applyProtection="1">
      <alignment horizontal="left" vertical="top" wrapText="1"/>
    </xf>
    <xf numFmtId="1" fontId="35" fillId="4" borderId="2" xfId="0" applyNumberFormat="1" applyFont="1" applyFill="1" applyBorder="1" applyAlignment="1" applyProtection="1">
      <alignment horizontal="left" vertical="center" wrapText="1"/>
    </xf>
    <xf numFmtId="3" fontId="7" fillId="0" borderId="22" xfId="0" applyNumberFormat="1" applyFont="1" applyBorder="1" applyAlignment="1">
      <alignment horizontal="right"/>
    </xf>
    <xf numFmtId="3" fontId="7" fillId="0" borderId="24" xfId="0" applyNumberFormat="1" applyFont="1" applyBorder="1" applyAlignment="1">
      <alignment horizontal="right"/>
    </xf>
    <xf numFmtId="169" fontId="1" fillId="0" borderId="20" xfId="0" applyNumberFormat="1" applyFont="1" applyBorder="1" applyAlignment="1">
      <alignment horizontal="center"/>
    </xf>
    <xf numFmtId="169" fontId="1" fillId="0" borderId="32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3" fontId="1" fillId="3" borderId="22" xfId="0" applyNumberFormat="1" applyFont="1" applyFill="1" applyBorder="1" applyAlignment="1" applyProtection="1">
      <alignment horizontal="right"/>
      <protection locked="0"/>
    </xf>
    <xf numFmtId="3" fontId="1" fillId="3" borderId="24" xfId="0" applyNumberFormat="1" applyFont="1" applyFill="1" applyBorder="1" applyAlignment="1" applyProtection="1">
      <alignment horizontal="right"/>
      <protection locked="0"/>
    </xf>
    <xf numFmtId="3" fontId="1" fillId="4" borderId="22" xfId="0" applyNumberFormat="1" applyFont="1" applyFill="1" applyBorder="1" applyAlignment="1" applyProtection="1">
      <alignment horizontal="right"/>
    </xf>
    <xf numFmtId="3" fontId="1" fillId="4" borderId="24" xfId="0" applyNumberFormat="1" applyFont="1" applyFill="1" applyBorder="1" applyAlignment="1" applyProtection="1">
      <alignment horizontal="right"/>
    </xf>
    <xf numFmtId="0" fontId="9" fillId="4" borderId="0" xfId="0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27" fillId="4" borderId="2" xfId="0" applyNumberFormat="1" applyFont="1" applyFill="1" applyBorder="1" applyAlignment="1" applyProtection="1">
      <alignment horizontal="left" vertical="top" wrapText="1"/>
    </xf>
    <xf numFmtId="49" fontId="39" fillId="4" borderId="2" xfId="0" applyNumberFormat="1" applyFont="1" applyFill="1" applyBorder="1" applyAlignment="1" applyProtection="1">
      <alignment horizontal="left" vertical="center"/>
    </xf>
    <xf numFmtId="0" fontId="39" fillId="4" borderId="2" xfId="0" applyFont="1" applyFill="1" applyBorder="1" applyAlignment="1" applyProtection="1">
      <alignment horizontal="left" vertical="center"/>
    </xf>
    <xf numFmtId="0" fontId="39" fillId="4" borderId="7" xfId="0" applyFont="1" applyFill="1" applyBorder="1" applyAlignment="1" applyProtection="1">
      <alignment horizontal="left" vertical="center"/>
    </xf>
    <xf numFmtId="3" fontId="7" fillId="0" borderId="37" xfId="0" applyNumberFormat="1" applyFont="1" applyBorder="1" applyAlignment="1">
      <alignment horizontal="right"/>
    </xf>
    <xf numFmtId="0" fontId="1" fillId="3" borderId="22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1" fillId="3" borderId="25" xfId="0" applyFont="1" applyFill="1" applyBorder="1" applyAlignment="1" applyProtection="1">
      <alignment horizontal="center" vertical="center"/>
      <protection locked="0"/>
    </xf>
    <xf numFmtId="169" fontId="1" fillId="0" borderId="0" xfId="0" applyNumberFormat="1" applyFont="1" applyBorder="1" applyAlignment="1">
      <alignment horizontal="right" vertical="center"/>
    </xf>
    <xf numFmtId="0" fontId="1" fillId="4" borderId="0" xfId="0" applyFont="1" applyFill="1" applyBorder="1" applyAlignment="1" applyProtection="1">
      <alignment horizontal="left" vertical="center"/>
    </xf>
    <xf numFmtId="0" fontId="1" fillId="4" borderId="32" xfId="0" applyFont="1" applyFill="1" applyBorder="1" applyAlignment="1" applyProtection="1">
      <alignment horizontal="left" vertical="center"/>
    </xf>
    <xf numFmtId="3" fontId="7" fillId="4" borderId="19" xfId="0" applyNumberFormat="1" applyFont="1" applyFill="1" applyBorder="1" applyAlignment="1" applyProtection="1">
      <alignment horizontal="right"/>
    </xf>
    <xf numFmtId="3" fontId="7" fillId="4" borderId="33" xfId="0" applyNumberFormat="1" applyFont="1" applyFill="1" applyBorder="1" applyAlignment="1" applyProtection="1">
      <alignment horizontal="right"/>
    </xf>
    <xf numFmtId="3" fontId="7" fillId="4" borderId="20" xfId="0" applyNumberFormat="1" applyFont="1" applyFill="1" applyBorder="1" applyAlignment="1" applyProtection="1">
      <alignment horizontal="right"/>
    </xf>
    <xf numFmtId="3" fontId="7" fillId="4" borderId="32" xfId="0" applyNumberFormat="1" applyFont="1" applyFill="1" applyBorder="1" applyAlignment="1" applyProtection="1">
      <alignment horizontal="right"/>
    </xf>
    <xf numFmtId="3" fontId="7" fillId="4" borderId="35" xfId="0" applyNumberFormat="1" applyFont="1" applyFill="1" applyBorder="1" applyAlignment="1" applyProtection="1">
      <alignment horizontal="right"/>
    </xf>
    <xf numFmtId="3" fontId="7" fillId="4" borderId="36" xfId="0" applyNumberFormat="1" applyFont="1" applyFill="1" applyBorder="1" applyAlignment="1" applyProtection="1">
      <alignment horizontal="right"/>
    </xf>
    <xf numFmtId="3" fontId="7" fillId="4" borderId="22" xfId="0" applyNumberFormat="1" applyFont="1" applyFill="1" applyBorder="1" applyAlignment="1" applyProtection="1">
      <alignment horizontal="right"/>
    </xf>
    <xf numFmtId="3" fontId="7" fillId="4" borderId="24" xfId="0" applyNumberFormat="1" applyFont="1" applyFill="1" applyBorder="1" applyAlignment="1" applyProtection="1">
      <alignment horizontal="right"/>
    </xf>
    <xf numFmtId="0" fontId="9" fillId="0" borderId="4" xfId="0" applyFont="1" applyBorder="1" applyAlignment="1">
      <alignment horizontal="center"/>
    </xf>
    <xf numFmtId="0" fontId="4" fillId="0" borderId="0" xfId="0" applyFont="1" applyBorder="1" applyAlignment="1">
      <alignment vertical="center" textRotation="90"/>
    </xf>
    <xf numFmtId="0" fontId="0" fillId="0" borderId="0" xfId="0" applyBorder="1" applyAlignment="1">
      <alignment vertical="center" textRotation="90"/>
    </xf>
    <xf numFmtId="0" fontId="1" fillId="4" borderId="10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</xf>
    <xf numFmtId="14" fontId="1" fillId="4" borderId="2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8" fillId="4" borderId="2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>
      <alignment horizontal="center"/>
    </xf>
    <xf numFmtId="0" fontId="8" fillId="4" borderId="32" xfId="0" applyFont="1" applyFill="1" applyBorder="1" applyAlignment="1" applyProtection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</xf>
    <xf numFmtId="49" fontId="39" fillId="4" borderId="0" xfId="0" applyNumberFormat="1" applyFont="1" applyFill="1" applyBorder="1" applyAlignment="1" applyProtection="1">
      <alignment horizontal="left" vertical="center"/>
    </xf>
    <xf numFmtId="0" fontId="39" fillId="4" borderId="0" xfId="0" applyFont="1" applyFill="1" applyBorder="1" applyAlignment="1" applyProtection="1">
      <alignment horizontal="left" vertical="center"/>
    </xf>
    <xf numFmtId="0" fontId="39" fillId="4" borderId="5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 vertical="center"/>
      <protection locked="0"/>
    </xf>
    <xf numFmtId="3" fontId="1" fillId="4" borderId="19" xfId="0" applyNumberFormat="1" applyFont="1" applyFill="1" applyBorder="1" applyAlignment="1" applyProtection="1">
      <alignment horizontal="right"/>
    </xf>
    <xf numFmtId="3" fontId="1" fillId="4" borderId="33" xfId="0" applyNumberFormat="1" applyFont="1" applyFill="1" applyBorder="1" applyAlignment="1" applyProtection="1">
      <alignment horizontal="right"/>
    </xf>
    <xf numFmtId="3" fontId="7" fillId="0" borderId="19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horizontal="right"/>
    </xf>
    <xf numFmtId="0" fontId="5" fillId="3" borderId="0" xfId="0" applyFont="1" applyFill="1" applyBorder="1" applyAlignment="1" applyProtection="1">
      <alignment horizontal="left"/>
    </xf>
    <xf numFmtId="0" fontId="4" fillId="0" borderId="0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/>
    </xf>
    <xf numFmtId="0" fontId="7" fillId="4" borderId="0" xfId="0" applyFont="1" applyFill="1" applyBorder="1" applyAlignment="1" applyProtection="1">
      <alignment horizontal="left" vertical="center" wrapText="1"/>
    </xf>
    <xf numFmtId="0" fontId="7" fillId="4" borderId="5" xfId="0" applyFont="1" applyFill="1" applyBorder="1" applyAlignment="1" applyProtection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3" fontId="1" fillId="4" borderId="0" xfId="0" applyNumberFormat="1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right"/>
    </xf>
    <xf numFmtId="49" fontId="1" fillId="4" borderId="14" xfId="0" applyNumberFormat="1" applyFont="1" applyFill="1" applyBorder="1" applyAlignment="1" applyProtection="1">
      <alignment horizontal="center" vertical="center"/>
    </xf>
    <xf numFmtId="49" fontId="1" fillId="4" borderId="15" xfId="0" applyNumberFormat="1" applyFont="1" applyFill="1" applyBorder="1" applyAlignment="1" applyProtection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3" fillId="4" borderId="1" xfId="0" applyFont="1" applyFill="1" applyBorder="1" applyAlignment="1" applyProtection="1">
      <alignment horizontal="center" vertical="center" wrapText="1"/>
    </xf>
    <xf numFmtId="0" fontId="33" fillId="4" borderId="0" xfId="0" applyFont="1" applyFill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/>
    </xf>
    <xf numFmtId="49" fontId="1" fillId="4" borderId="1" xfId="0" applyNumberFormat="1" applyFont="1" applyFill="1" applyBorder="1" applyAlignment="1" applyProtection="1">
      <alignment horizontal="center" vertical="center"/>
    </xf>
    <xf numFmtId="49" fontId="1" fillId="4" borderId="0" xfId="0" applyNumberFormat="1" applyFont="1" applyFill="1" applyBorder="1" applyAlignment="1" applyProtection="1">
      <alignment horizontal="center" vertical="center"/>
    </xf>
    <xf numFmtId="49" fontId="1" fillId="4" borderId="32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114AC"/>
      <color rgb="FFFFFF00"/>
      <color rgb="FF336699"/>
      <color rgb="FF0033CC"/>
      <color rgb="FF003300"/>
      <color rgb="FF663300"/>
      <color rgb="FFBA5F46"/>
      <color rgb="FF27044A"/>
      <color rgb="FF008080"/>
      <color rgb="FFF3B3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144993</xdr:colOff>
      <xdr:row>1</xdr:row>
      <xdr:rowOff>2178050</xdr:rowOff>
    </xdr:from>
    <xdr:to>
      <xdr:col>19</xdr:col>
      <xdr:colOff>606425</xdr:colOff>
      <xdr:row>8</xdr:row>
      <xdr:rowOff>79376</xdr:rowOff>
    </xdr:to>
    <xdr:pic>
      <xdr:nvPicPr>
        <xdr:cNvPr id="8" name="Picture 7" descr="CYMERA_20160718_10544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66326" y="2516717"/>
          <a:ext cx="2302932" cy="2399242"/>
        </a:xfrm>
        <a:prstGeom prst="ellipse">
          <a:avLst/>
        </a:prstGeom>
        <a:ln w="190500" cap="rnd">
          <a:solidFill>
            <a:srgbClr val="C8C6BD"/>
          </a:solidFill>
          <a:prstDash val="solid"/>
        </a:ln>
        <a:effectLst>
          <a:outerShdw blurRad="127000" algn="bl" rotWithShape="0">
            <a:srgbClr val="000000"/>
          </a:outerShdw>
        </a:effectLst>
        <a:scene3d>
          <a:camera prst="perspectiveFront" fov="5400000"/>
          <a:lightRig rig="threePt" dir="t">
            <a:rot lat="0" lon="0" rev="19200000"/>
          </a:lightRig>
        </a:scene3d>
        <a:sp3d extrusionH="25400">
          <a:bevelT w="304800" h="152400" prst="hardEdge"/>
          <a:extrusionClr>
            <a:srgbClr val="000000"/>
          </a:extrusionClr>
        </a:sp3d>
      </xdr:spPr>
    </xdr:pic>
    <xdr:clientData/>
  </xdr:twoCellAnchor>
  <xdr:twoCellAnchor editAs="oneCell">
    <xdr:from>
      <xdr:col>0</xdr:col>
      <xdr:colOff>28576</xdr:colOff>
      <xdr:row>1</xdr:row>
      <xdr:rowOff>1</xdr:rowOff>
    </xdr:from>
    <xdr:to>
      <xdr:col>5</xdr:col>
      <xdr:colOff>266700</xdr:colOff>
      <xdr:row>1</xdr:row>
      <xdr:rowOff>2266951</xdr:rowOff>
    </xdr:to>
    <xdr:pic>
      <xdr:nvPicPr>
        <xdr:cNvPr id="9" name="Picture 8" descr="1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6" y="342901"/>
          <a:ext cx="3286124" cy="2266950"/>
        </a:xfrm>
        <a:prstGeom prst="rect">
          <a:avLst/>
        </a:prstGeom>
      </xdr:spPr>
    </xdr:pic>
    <xdr:clientData/>
  </xdr:twoCellAnchor>
  <xdr:twoCellAnchor editAs="oneCell">
    <xdr:from>
      <xdr:col>5</xdr:col>
      <xdr:colOff>283351</xdr:colOff>
      <xdr:row>1</xdr:row>
      <xdr:rowOff>7126</xdr:rowOff>
    </xdr:from>
    <xdr:to>
      <xdr:col>10</xdr:col>
      <xdr:colOff>590551</xdr:colOff>
      <xdr:row>1</xdr:row>
      <xdr:rowOff>2276476</xdr:rowOff>
    </xdr:to>
    <xdr:pic>
      <xdr:nvPicPr>
        <xdr:cNvPr id="10" name="Picture 9" descr="2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31351" y="350026"/>
          <a:ext cx="3355200" cy="2269350"/>
        </a:xfrm>
        <a:prstGeom prst="rect">
          <a:avLst/>
        </a:prstGeom>
      </xdr:spPr>
    </xdr:pic>
    <xdr:clientData/>
  </xdr:twoCellAnchor>
  <xdr:twoCellAnchor editAs="oneCell">
    <xdr:from>
      <xdr:col>11</xdr:col>
      <xdr:colOff>4725</xdr:colOff>
      <xdr:row>1</xdr:row>
      <xdr:rowOff>4725</xdr:rowOff>
    </xdr:from>
    <xdr:to>
      <xdr:col>16</xdr:col>
      <xdr:colOff>409575</xdr:colOff>
      <xdr:row>1</xdr:row>
      <xdr:rowOff>2276475</xdr:rowOff>
    </xdr:to>
    <xdr:pic>
      <xdr:nvPicPr>
        <xdr:cNvPr id="11" name="Picture 10" descr="3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710325" y="347625"/>
          <a:ext cx="3452850" cy="2271750"/>
        </a:xfrm>
        <a:prstGeom prst="rect">
          <a:avLst/>
        </a:prstGeom>
      </xdr:spPr>
    </xdr:pic>
    <xdr:clientData/>
  </xdr:twoCellAnchor>
  <xdr:twoCellAnchor>
    <xdr:from>
      <xdr:col>0</xdr:col>
      <xdr:colOff>197472</xdr:colOff>
      <xdr:row>0</xdr:row>
      <xdr:rowOff>173914</xdr:rowOff>
    </xdr:from>
    <xdr:to>
      <xdr:col>2</xdr:col>
      <xdr:colOff>528859</xdr:colOff>
      <xdr:row>1</xdr:row>
      <xdr:rowOff>269824</xdr:rowOff>
    </xdr:to>
    <xdr:sp macro="" textlink="">
      <xdr:nvSpPr>
        <xdr:cNvPr id="12" name="Left Arrow 11"/>
        <xdr:cNvSpPr/>
      </xdr:nvSpPr>
      <xdr:spPr>
        <a:xfrm rot="20991517">
          <a:off x="197472" y="173914"/>
          <a:ext cx="1559054" cy="434577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200">
              <a:solidFill>
                <a:srgbClr val="FFFF00"/>
              </a:solidFill>
            </a:rPr>
            <a:t>ಇದರಮೇಲೆ ಕ್ಲಿಕ್ ಮಾಡಿ</a:t>
          </a:r>
        </a:p>
      </xdr:txBody>
    </xdr:sp>
    <xdr:clientData/>
  </xdr:twoCellAnchor>
  <xdr:twoCellAnchor>
    <xdr:from>
      <xdr:col>1</xdr:col>
      <xdr:colOff>449412</xdr:colOff>
      <xdr:row>1</xdr:row>
      <xdr:rowOff>1734060</xdr:rowOff>
    </xdr:from>
    <xdr:to>
      <xdr:col>4</xdr:col>
      <xdr:colOff>178787</xdr:colOff>
      <xdr:row>1</xdr:row>
      <xdr:rowOff>2172870</xdr:rowOff>
    </xdr:to>
    <xdr:sp macro="" textlink="">
      <xdr:nvSpPr>
        <xdr:cNvPr id="13" name="Left Arrow 12"/>
        <xdr:cNvSpPr/>
      </xdr:nvSpPr>
      <xdr:spPr>
        <a:xfrm rot="20991517">
          <a:off x="1063245" y="2072727"/>
          <a:ext cx="1570875" cy="43881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200">
              <a:solidFill>
                <a:srgbClr val="FFFF00"/>
              </a:solidFill>
            </a:rPr>
            <a:t>ಇದರಮೇಲೆ ಕ್ಲಿಕ್ ಮಾಡಿ</a:t>
          </a:r>
        </a:p>
      </xdr:txBody>
    </xdr:sp>
    <xdr:clientData/>
  </xdr:twoCellAnchor>
  <xdr:twoCellAnchor>
    <xdr:from>
      <xdr:col>6</xdr:col>
      <xdr:colOff>68051</xdr:colOff>
      <xdr:row>1</xdr:row>
      <xdr:rowOff>314626</xdr:rowOff>
    </xdr:from>
    <xdr:to>
      <xdr:col>8</xdr:col>
      <xdr:colOff>472725</xdr:colOff>
      <xdr:row>1</xdr:row>
      <xdr:rowOff>789826</xdr:rowOff>
    </xdr:to>
    <xdr:sp macro="" textlink="">
      <xdr:nvSpPr>
        <xdr:cNvPr id="14" name="Left Arrow 13"/>
        <xdr:cNvSpPr/>
      </xdr:nvSpPr>
      <xdr:spPr>
        <a:xfrm rot="20613490">
          <a:off x="3751051" y="653293"/>
          <a:ext cx="1632341" cy="4752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200">
              <a:solidFill>
                <a:srgbClr val="FFFF00"/>
              </a:solidFill>
            </a:rPr>
            <a:t>ಇದರಮೇಲೆ ಕ್ಲಿಕ್ ಮಾಡಿ</a:t>
          </a:r>
        </a:p>
      </xdr:txBody>
    </xdr:sp>
    <xdr:clientData/>
  </xdr:twoCellAnchor>
  <xdr:twoCellAnchor>
    <xdr:from>
      <xdr:col>10</xdr:col>
      <xdr:colOff>182608</xdr:colOff>
      <xdr:row>1</xdr:row>
      <xdr:rowOff>1266742</xdr:rowOff>
    </xdr:from>
    <xdr:to>
      <xdr:col>11</xdr:col>
      <xdr:colOff>48207</xdr:colOff>
      <xdr:row>3</xdr:row>
      <xdr:rowOff>169333</xdr:rowOff>
    </xdr:to>
    <xdr:sp macro="" textlink="">
      <xdr:nvSpPr>
        <xdr:cNvPr id="16" name="Left Arrow 15"/>
        <xdr:cNvSpPr/>
      </xdr:nvSpPr>
      <xdr:spPr>
        <a:xfrm rot="4528511">
          <a:off x="5733529" y="2192821"/>
          <a:ext cx="1654257" cy="47943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200">
              <a:solidFill>
                <a:srgbClr val="FFFF00"/>
              </a:solidFill>
            </a:rPr>
            <a:t>ಇದರಮೇಲೆ ಕ್ಲಿಕ್ ಮಾಡಿ</a:t>
          </a:r>
        </a:p>
      </xdr:txBody>
    </xdr:sp>
    <xdr:clientData/>
  </xdr:twoCellAnchor>
  <xdr:twoCellAnchor>
    <xdr:from>
      <xdr:col>11</xdr:col>
      <xdr:colOff>199232</xdr:colOff>
      <xdr:row>1</xdr:row>
      <xdr:rowOff>583190</xdr:rowOff>
    </xdr:from>
    <xdr:to>
      <xdr:col>12</xdr:col>
      <xdr:colOff>1932</xdr:colOff>
      <xdr:row>1</xdr:row>
      <xdr:rowOff>2180830</xdr:rowOff>
    </xdr:to>
    <xdr:sp macro="" textlink="">
      <xdr:nvSpPr>
        <xdr:cNvPr id="17" name="Left Arrow 16"/>
        <xdr:cNvSpPr/>
      </xdr:nvSpPr>
      <xdr:spPr>
        <a:xfrm rot="5165114">
          <a:off x="6360846" y="1512410"/>
          <a:ext cx="1597640" cy="41653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200">
              <a:solidFill>
                <a:srgbClr val="FFFF00"/>
              </a:solidFill>
            </a:rPr>
            <a:t>ಇದರಮೇಲೆ ಕ್ಲಿಕ್ ಮಾಡಿ</a:t>
          </a:r>
        </a:p>
      </xdr:txBody>
    </xdr:sp>
    <xdr:clientData/>
  </xdr:twoCellAnchor>
  <xdr:twoCellAnchor>
    <xdr:from>
      <xdr:col>12</xdr:col>
      <xdr:colOff>236375</xdr:colOff>
      <xdr:row>1</xdr:row>
      <xdr:rowOff>95168</xdr:rowOff>
    </xdr:from>
    <xdr:to>
      <xdr:col>14</xdr:col>
      <xdr:colOff>549159</xdr:colOff>
      <xdr:row>1</xdr:row>
      <xdr:rowOff>490992</xdr:rowOff>
    </xdr:to>
    <xdr:sp macro="" textlink="">
      <xdr:nvSpPr>
        <xdr:cNvPr id="18" name="Left Arrow 17"/>
        <xdr:cNvSpPr/>
      </xdr:nvSpPr>
      <xdr:spPr>
        <a:xfrm rot="20613490">
          <a:off x="7602375" y="433835"/>
          <a:ext cx="1540451" cy="395824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200">
              <a:solidFill>
                <a:srgbClr val="FFFF00"/>
              </a:solidFill>
            </a:rPr>
            <a:t>ಇದರಮೇಲೆ ಕ್ಲಿಕ್ ಮಾಡಿ</a:t>
          </a:r>
        </a:p>
      </xdr:txBody>
    </xdr:sp>
    <xdr:clientData/>
  </xdr:twoCellAnchor>
  <xdr:twoCellAnchor>
    <xdr:from>
      <xdr:col>15</xdr:col>
      <xdr:colOff>308428</xdr:colOff>
      <xdr:row>1</xdr:row>
      <xdr:rowOff>1399422</xdr:rowOff>
    </xdr:from>
    <xdr:to>
      <xdr:col>18</xdr:col>
      <xdr:colOff>57886</xdr:colOff>
      <xdr:row>1</xdr:row>
      <xdr:rowOff>1874622</xdr:rowOff>
    </xdr:to>
    <xdr:sp macro="" textlink="">
      <xdr:nvSpPr>
        <xdr:cNvPr id="19" name="Left Arrow 18"/>
        <xdr:cNvSpPr/>
      </xdr:nvSpPr>
      <xdr:spPr>
        <a:xfrm rot="19324385">
          <a:off x="9515928" y="1738089"/>
          <a:ext cx="1590958" cy="4752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200">
              <a:solidFill>
                <a:srgbClr val="FFFF00"/>
              </a:solidFill>
            </a:rPr>
            <a:t>ಇದರಮೇಲೆ ಕ್ಲಿಕ್ ಮಾಡಿ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</xdr:row>
          <xdr:rowOff>0</xdr:rowOff>
        </xdr:from>
        <xdr:to>
          <xdr:col>16</xdr:col>
          <xdr:colOff>76200</xdr:colOff>
          <xdr:row>3</xdr:row>
          <xdr:rowOff>152400</xdr:rowOff>
        </xdr:to>
        <xdr:sp macro="" textlink="">
          <xdr:nvSpPr>
            <xdr:cNvPr id="5121" name="CommandButton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</xdr:row>
          <xdr:rowOff>38100</xdr:rowOff>
        </xdr:from>
        <xdr:to>
          <xdr:col>9</xdr:col>
          <xdr:colOff>123825</xdr:colOff>
          <xdr:row>3</xdr:row>
          <xdr:rowOff>9525</xdr:rowOff>
        </xdr:to>
        <xdr:sp macro="" textlink="">
          <xdr:nvSpPr>
            <xdr:cNvPr id="3082" name="CommandButton1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650882</xdr:colOff>
      <xdr:row>1</xdr:row>
      <xdr:rowOff>63499</xdr:rowOff>
    </xdr:from>
    <xdr:to>
      <xdr:col>17</xdr:col>
      <xdr:colOff>787549</xdr:colOff>
      <xdr:row>1</xdr:row>
      <xdr:rowOff>64188</xdr:rowOff>
    </xdr:to>
    <xdr:pic>
      <xdr:nvPicPr>
        <xdr:cNvPr id="7" name="Picture 6" descr="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71007" y="63499"/>
          <a:ext cx="809623" cy="762001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</xdr:col>
      <xdr:colOff>122091</xdr:colOff>
      <xdr:row>72</xdr:row>
      <xdr:rowOff>129884</xdr:rowOff>
    </xdr:from>
    <xdr:to>
      <xdr:col>2</xdr:col>
      <xdr:colOff>441613</xdr:colOff>
      <xdr:row>76</xdr:row>
      <xdr:rowOff>60614</xdr:rowOff>
    </xdr:to>
    <xdr:grpSp>
      <xdr:nvGrpSpPr>
        <xdr:cNvPr id="2075" name="Group 27"/>
        <xdr:cNvGrpSpPr>
          <a:grpSpLocks/>
        </xdr:cNvGrpSpPr>
      </xdr:nvGrpSpPr>
      <xdr:grpSpPr bwMode="auto">
        <a:xfrm>
          <a:off x="350691" y="15703259"/>
          <a:ext cx="995797" cy="759405"/>
          <a:chOff x="110804325" y="106146600"/>
          <a:chExt cx="685800" cy="742950"/>
        </a:xfrm>
        <a:solidFill>
          <a:schemeClr val="bg1"/>
        </a:solidFill>
      </xdr:grpSpPr>
      <xdr:sp macro="" textlink="">
        <xdr:nvSpPr>
          <xdr:cNvPr id="2076" name="WordArt 28"/>
          <xdr:cNvSpPr>
            <a:spLocks noChangeArrowheads="1" noChangeShapeType="1" noTextEdit="1"/>
          </xdr:cNvSpPr>
        </xdr:nvSpPr>
        <xdr:spPr bwMode="auto">
          <a:xfrm>
            <a:off x="110804325" y="106146600"/>
            <a:ext cx="685800" cy="742950"/>
          </a:xfrm>
          <a:prstGeom prst="rect">
            <a:avLst/>
          </a:prstGeom>
          <a:grpFill/>
          <a:ln>
            <a:solidFill>
              <a:schemeClr val="bg1"/>
            </a:solidFill>
          </a:ln>
        </xdr:spPr>
        <xdr:txBody>
          <a:bodyPr wrap="none" fromWordArt="1">
            <a:prstTxWarp prst="textButton">
              <a:avLst>
                <a:gd name="adj" fmla="val 10800000"/>
              </a:avLst>
            </a:prstTxWarp>
          </a:bodyPr>
          <a:lstStyle/>
          <a:p>
            <a:pPr algn="ctr" rtl="0"/>
            <a:r>
              <a:rPr lang="en-IN" sz="3600" kern="10" spc="0">
                <a:ln w="9525">
                  <a:solidFill>
                    <a:srgbClr val="0000FF"/>
                  </a:solidFill>
                  <a:round/>
                  <a:headEnd/>
                  <a:tailEnd/>
                </a:ln>
                <a:solidFill>
                  <a:schemeClr val="bg1"/>
                </a:solidFill>
                <a:effectLst>
                  <a:glow rad="228600">
                    <a:schemeClr val="accent6">
                      <a:satMod val="175000"/>
                      <a:alpha val="40000"/>
                    </a:schemeClr>
                  </a:glow>
                </a:effectLst>
                <a:latin typeface="Arial Black"/>
              </a:rPr>
              <a:t>Kadlimatti</a:t>
            </a:r>
          </a:p>
        </xdr:txBody>
      </xdr:sp>
      <xdr:sp macro="" textlink="">
        <xdr:nvSpPr>
          <xdr:cNvPr id="2077" name="WordArt 29"/>
          <xdr:cNvSpPr>
            <a:spLocks noChangeArrowheads="1" noChangeShapeType="1" noTextEdit="1"/>
          </xdr:cNvSpPr>
        </xdr:nvSpPr>
        <xdr:spPr bwMode="auto">
          <a:xfrm>
            <a:off x="110911005" y="106338064"/>
            <a:ext cx="464820" cy="151448"/>
          </a:xfrm>
          <a:prstGeom prst="rect">
            <a:avLst/>
          </a:prstGeom>
          <a:grpFill/>
          <a:ln>
            <a:solidFill>
              <a:schemeClr val="bg1"/>
            </a:solidFill>
          </a:ln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en-IN" sz="3600" kern="10" spc="0">
                <a:ln w="9525">
                  <a:solidFill>
                    <a:srgbClr val="0000FF"/>
                  </a:solidFill>
                  <a:round/>
                  <a:headEnd/>
                  <a:tailEnd/>
                </a:ln>
                <a:solidFill>
                  <a:schemeClr val="bg1"/>
                </a:solidFill>
                <a:effectLst>
                  <a:glow rad="228600">
                    <a:schemeClr val="accent6">
                      <a:satMod val="175000"/>
                      <a:alpha val="40000"/>
                    </a:schemeClr>
                  </a:glow>
                  <a:outerShdw dist="45791" dir="2021404" algn="ctr" rotWithShape="0">
                    <a:srgbClr val="B2B2B2">
                      <a:alpha val="80000"/>
                    </a:srgbClr>
                  </a:outerShdw>
                </a:effectLst>
                <a:latin typeface="Times New Roman"/>
                <a:cs typeface="Times New Roman"/>
              </a:rPr>
              <a:t>H P</a:t>
            </a:r>
          </a:p>
        </xdr:txBody>
      </xdr:sp>
    </xdr:grpSp>
    <xdr:clientData/>
  </xdr:twoCellAnchor>
  <xdr:twoCellAnchor editAs="oneCell">
    <xdr:from>
      <xdr:col>16</xdr:col>
      <xdr:colOff>438150</xdr:colOff>
      <xdr:row>1</xdr:row>
      <xdr:rowOff>0</xdr:rowOff>
    </xdr:from>
    <xdr:to>
      <xdr:col>17</xdr:col>
      <xdr:colOff>572219</xdr:colOff>
      <xdr:row>3</xdr:row>
      <xdr:rowOff>175781</xdr:rowOff>
    </xdr:to>
    <xdr:pic>
      <xdr:nvPicPr>
        <xdr:cNvPr id="6" name="Picture 5" descr="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58375" y="0"/>
          <a:ext cx="810344" cy="766331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8</xdr:col>
      <xdr:colOff>257175</xdr:colOff>
      <xdr:row>0</xdr:row>
      <xdr:rowOff>28575</xdr:rowOff>
    </xdr:from>
    <xdr:to>
      <xdr:col>10</xdr:col>
      <xdr:colOff>226868</xdr:colOff>
      <xdr:row>0</xdr:row>
      <xdr:rowOff>257175</xdr:rowOff>
    </xdr:to>
    <xdr:sp macro="" textlink="">
      <xdr:nvSpPr>
        <xdr:cNvPr id="8" name="Rounded Rectangle 7"/>
        <xdr:cNvSpPr/>
      </xdr:nvSpPr>
      <xdr:spPr>
        <a:xfrm>
          <a:off x="4905375" y="28575"/>
          <a:ext cx="969818" cy="2286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IN" sz="1200" b="1"/>
            <a:t>Form</a:t>
          </a:r>
          <a:r>
            <a:rPr lang="en-IN" sz="1200" b="1" baseline="0"/>
            <a:t> No.16</a:t>
          </a:r>
          <a:endParaRPr lang="en-IN" sz="12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19147</xdr:colOff>
      <xdr:row>0</xdr:row>
      <xdr:rowOff>21455</xdr:rowOff>
    </xdr:from>
    <xdr:to>
      <xdr:col>2</xdr:col>
      <xdr:colOff>559459</xdr:colOff>
      <xdr:row>0</xdr:row>
      <xdr:rowOff>34416</xdr:rowOff>
    </xdr:to>
    <xdr:pic>
      <xdr:nvPicPr>
        <xdr:cNvPr id="5" name="Picture 4" descr="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0935" y="21455"/>
          <a:ext cx="723486" cy="641108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</xdr:col>
      <xdr:colOff>127001</xdr:colOff>
      <xdr:row>60</xdr:row>
      <xdr:rowOff>55562</xdr:rowOff>
    </xdr:from>
    <xdr:to>
      <xdr:col>2</xdr:col>
      <xdr:colOff>904876</xdr:colOff>
      <xdr:row>63</xdr:row>
      <xdr:rowOff>51956</xdr:rowOff>
    </xdr:to>
    <xdr:grpSp>
      <xdr:nvGrpSpPr>
        <xdr:cNvPr id="6" name="Group 27"/>
        <xdr:cNvGrpSpPr>
          <a:grpSpLocks/>
        </xdr:cNvGrpSpPr>
      </xdr:nvGrpSpPr>
      <xdr:grpSpPr bwMode="auto">
        <a:xfrm>
          <a:off x="365126" y="14279562"/>
          <a:ext cx="960438" cy="829832"/>
          <a:chOff x="110804325" y="106146600"/>
          <a:chExt cx="685800" cy="742950"/>
        </a:xfrm>
        <a:solidFill>
          <a:schemeClr val="bg1"/>
        </a:solidFill>
      </xdr:grpSpPr>
      <xdr:sp macro="" textlink="">
        <xdr:nvSpPr>
          <xdr:cNvPr id="7" name="WordArt 28"/>
          <xdr:cNvSpPr>
            <a:spLocks noChangeArrowheads="1" noChangeShapeType="1" noTextEdit="1"/>
          </xdr:cNvSpPr>
        </xdr:nvSpPr>
        <xdr:spPr bwMode="auto">
          <a:xfrm>
            <a:off x="110804325" y="106146600"/>
            <a:ext cx="685800" cy="742950"/>
          </a:xfrm>
          <a:prstGeom prst="rect">
            <a:avLst/>
          </a:prstGeom>
          <a:grpFill/>
          <a:ln>
            <a:solidFill>
              <a:schemeClr val="bg1"/>
            </a:solidFill>
          </a:ln>
        </xdr:spPr>
        <xdr:txBody>
          <a:bodyPr wrap="none" fromWordArt="1">
            <a:prstTxWarp prst="textButton">
              <a:avLst>
                <a:gd name="adj" fmla="val 10800000"/>
              </a:avLst>
            </a:prstTxWarp>
          </a:bodyPr>
          <a:lstStyle/>
          <a:p>
            <a:pPr algn="ctr" rtl="0"/>
            <a:r>
              <a:rPr lang="en-IN" sz="3600" kern="10" spc="0">
                <a:ln w="9525">
                  <a:solidFill>
                    <a:srgbClr val="0000FF"/>
                  </a:solidFill>
                  <a:round/>
                  <a:headEnd/>
                  <a:tailEnd/>
                </a:ln>
                <a:solidFill>
                  <a:schemeClr val="bg1"/>
                </a:solidFill>
                <a:effectLst>
                  <a:glow rad="228600">
                    <a:schemeClr val="accent6">
                      <a:satMod val="175000"/>
                      <a:alpha val="40000"/>
                    </a:schemeClr>
                  </a:glow>
                </a:effectLst>
                <a:latin typeface="Arial Black"/>
              </a:rPr>
              <a:t>Kadlimatti</a:t>
            </a:r>
          </a:p>
        </xdr:txBody>
      </xdr:sp>
      <xdr:sp macro="" textlink="">
        <xdr:nvSpPr>
          <xdr:cNvPr id="8" name="WordArt 29"/>
          <xdr:cNvSpPr>
            <a:spLocks noChangeArrowheads="1" noChangeShapeType="1" noTextEdit="1"/>
          </xdr:cNvSpPr>
        </xdr:nvSpPr>
        <xdr:spPr bwMode="auto">
          <a:xfrm>
            <a:off x="110911005" y="106338064"/>
            <a:ext cx="464820" cy="151448"/>
          </a:xfrm>
          <a:prstGeom prst="rect">
            <a:avLst/>
          </a:prstGeom>
          <a:grpFill/>
          <a:ln>
            <a:solidFill>
              <a:schemeClr val="bg1"/>
            </a:solidFill>
          </a:ln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en-IN" sz="3600" kern="10" spc="0">
                <a:ln w="9525">
                  <a:solidFill>
                    <a:srgbClr val="0000FF"/>
                  </a:solidFill>
                  <a:round/>
                  <a:headEnd/>
                  <a:tailEnd/>
                </a:ln>
                <a:solidFill>
                  <a:schemeClr val="bg1"/>
                </a:solidFill>
                <a:effectLst>
                  <a:glow rad="228600">
                    <a:schemeClr val="accent6">
                      <a:satMod val="175000"/>
                      <a:alpha val="40000"/>
                    </a:schemeClr>
                  </a:glow>
                  <a:outerShdw dist="45791" dir="2021404" algn="ctr" rotWithShape="0">
                    <a:srgbClr val="B2B2B2">
                      <a:alpha val="80000"/>
                    </a:srgbClr>
                  </a:outerShdw>
                </a:effectLst>
                <a:latin typeface="Times New Roman"/>
                <a:cs typeface="Times New Roman"/>
              </a:rPr>
              <a:t>H P</a:t>
            </a:r>
          </a:p>
        </xdr:txBody>
      </xdr:sp>
    </xdr:grp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627781</xdr:colOff>
      <xdr:row>3</xdr:row>
      <xdr:rowOff>51956</xdr:rowOff>
    </xdr:to>
    <xdr:pic>
      <xdr:nvPicPr>
        <xdr:cNvPr id="9" name="Picture 8" descr="Final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8125" y="0"/>
          <a:ext cx="810344" cy="766331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%20P%20K/H%20P%20K/I%20Tax/IT%20H%20P%20K/IncomeTax%2014-15%20B%20Grade%20Ci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entry"/>
      <sheetName val="dd_data"/>
      <sheetName val="instruction"/>
      <sheetName val="Sheet1"/>
      <sheetName val="Form16PartB"/>
      <sheetName val="Sheet2"/>
    </sheetNames>
    <sheetDataSet>
      <sheetData sheetId="0"/>
      <sheetData sheetId="1">
        <row r="2">
          <cell r="U2" t="str">
            <v>9600-200-12000-250-13000-300-14200-350-14550</v>
          </cell>
          <cell r="V2" t="str">
            <v>10400-200-12000-250-13000-300-14200-350-15600-400-16400</v>
          </cell>
          <cell r="W2" t="str">
            <v>11000-200-12000-250-13000-300-14200-350-15600-400-17200-450-19000</v>
          </cell>
          <cell r="X2" t="str">
            <v>11600-200-12000-250-13000-300-14200-350-15600-400-17200-450-19000-500-21000</v>
          </cell>
          <cell r="Y2" t="str">
            <v>12500-250-13000-300-14200-350-15600-400-17200-450-19000-500-21000-600-24000</v>
          </cell>
          <cell r="Z2" t="str">
            <v>13600-300-14200-350-15600-400-17200-450-19000-500-21000-600-24600-700-26000</v>
          </cell>
          <cell r="AA2" t="str">
            <v>14550-350-15600-400-17200-450-19000-500-21000-600-24600-700-26700</v>
          </cell>
          <cell r="AB2" t="str">
            <v>16000-400-17200-450-19000-500-21000-600-24600-700-28800-800-29600</v>
          </cell>
          <cell r="AC2" t="str">
            <v>17650-450-19000-500-21000-600-24600-700-28800-800-32000</v>
          </cell>
          <cell r="AD2" t="str">
            <v>19000-500-21000-600-24600-700-28800-800-33600-900-34500</v>
          </cell>
          <cell r="AE2" t="str">
            <v>20000-500-21000-600-24600-700-28800-800-33600-900-36300</v>
          </cell>
          <cell r="AF2" t="str">
            <v>21600-600-24600-700-28800-800-33600-900-39000-1050-40050</v>
          </cell>
          <cell r="AG2" t="str">
            <v>22800-600-24600-700-28800-800-33600-900-39000-1050-43200</v>
          </cell>
          <cell r="AH2" t="str">
            <v>24000-600-24600-700-28800-800-33600-900-39000-1050-45300</v>
          </cell>
          <cell r="AI2" t="str">
            <v>26000-700-28800-800-33600-900-39000-1050-45300-1200-47700</v>
          </cell>
          <cell r="AJ2" t="str">
            <v>28100-700-28800-800-33600-900-39000-1050-45300-1200-50100</v>
          </cell>
          <cell r="AK2" t="str">
            <v>30400-800-33600-900-39000-1050-45300-1200-51300</v>
          </cell>
          <cell r="AL2" t="str">
            <v>32800-800-33600-900-39000-1050-45300-1200-52500</v>
          </cell>
          <cell r="AM2" t="str">
            <v>36300-900-39000-1050-45300-1200-52500-1350-53850</v>
          </cell>
          <cell r="AN2" t="str">
            <v>38100-900-39000-1050-45300-1200-52500-1350-55200</v>
          </cell>
          <cell r="AO2" t="str">
            <v>40050-1050-45300-1200-52500-1350-56550</v>
          </cell>
          <cell r="AP2" t="str">
            <v>44250-1050-45300-1200-52500-1350-60600</v>
          </cell>
          <cell r="AQ2" t="str">
            <v>48900-1200-52500-1350-60600-1500-63600</v>
          </cell>
          <cell r="AR2" t="str">
            <v>52500-1350-60600-1500-69600-1700-73000</v>
          </cell>
          <cell r="AS2" t="str">
            <v>56550-1350-60600-1500-69600-1700-79800</v>
          </cell>
        </row>
        <row r="3">
          <cell r="U3" t="str">
            <v>select</v>
          </cell>
          <cell r="V3" t="str">
            <v>select</v>
          </cell>
          <cell r="W3" t="str">
            <v>select</v>
          </cell>
          <cell r="X3" t="str">
            <v>select</v>
          </cell>
          <cell r="Y3" t="str">
            <v>select</v>
          </cell>
          <cell r="Z3" t="str">
            <v>select</v>
          </cell>
          <cell r="AA3" t="str">
            <v>select</v>
          </cell>
          <cell r="AB3" t="str">
            <v>select</v>
          </cell>
          <cell r="AC3" t="str">
            <v>select</v>
          </cell>
          <cell r="AD3" t="str">
            <v>select</v>
          </cell>
          <cell r="AE3" t="str">
            <v>select</v>
          </cell>
          <cell r="AF3" t="str">
            <v>select</v>
          </cell>
          <cell r="AG3" t="str">
            <v>select</v>
          </cell>
          <cell r="AH3" t="str">
            <v>select</v>
          </cell>
          <cell r="AI3" t="str">
            <v>select</v>
          </cell>
          <cell r="AJ3" t="str">
            <v>select</v>
          </cell>
          <cell r="AK3" t="str">
            <v>select</v>
          </cell>
          <cell r="AL3" t="str">
            <v>select</v>
          </cell>
          <cell r="AM3" t="str">
            <v>select</v>
          </cell>
          <cell r="AN3" t="str">
            <v>select</v>
          </cell>
          <cell r="AO3" t="str">
            <v>select</v>
          </cell>
          <cell r="AP3" t="str">
            <v>select</v>
          </cell>
          <cell r="AQ3" t="str">
            <v>select</v>
          </cell>
          <cell r="AR3" t="str">
            <v>select</v>
          </cell>
          <cell r="AS3" t="str">
            <v>select</v>
          </cell>
        </row>
        <row r="4">
          <cell r="U4">
            <v>9600</v>
          </cell>
          <cell r="V4">
            <v>10400</v>
          </cell>
          <cell r="W4">
            <v>11000</v>
          </cell>
          <cell r="X4">
            <v>11600</v>
          </cell>
          <cell r="Y4">
            <v>12500</v>
          </cell>
          <cell r="Z4">
            <v>13600</v>
          </cell>
          <cell r="AA4">
            <v>14550</v>
          </cell>
          <cell r="AB4">
            <v>16000</v>
          </cell>
          <cell r="AC4">
            <v>17650</v>
          </cell>
          <cell r="AD4">
            <v>19000</v>
          </cell>
          <cell r="AE4">
            <v>20000</v>
          </cell>
          <cell r="AF4">
            <v>21600</v>
          </cell>
          <cell r="AG4">
            <v>22800</v>
          </cell>
          <cell r="AH4">
            <v>24000</v>
          </cell>
          <cell r="AI4">
            <v>26000</v>
          </cell>
          <cell r="AJ4">
            <v>28100</v>
          </cell>
          <cell r="AK4">
            <v>30400</v>
          </cell>
          <cell r="AL4">
            <v>32800</v>
          </cell>
          <cell r="AM4">
            <v>36300</v>
          </cell>
          <cell r="AN4">
            <v>38100</v>
          </cell>
          <cell r="AO4">
            <v>40050</v>
          </cell>
          <cell r="AP4">
            <v>44250</v>
          </cell>
          <cell r="AQ4">
            <v>48900</v>
          </cell>
          <cell r="AR4">
            <v>52500</v>
          </cell>
          <cell r="AS4">
            <v>56550</v>
          </cell>
        </row>
        <row r="5">
          <cell r="U5">
            <v>9800</v>
          </cell>
          <cell r="V5">
            <v>10600</v>
          </cell>
          <cell r="W5">
            <v>11200</v>
          </cell>
          <cell r="X5">
            <v>11800</v>
          </cell>
          <cell r="Y5">
            <v>12750</v>
          </cell>
          <cell r="Z5">
            <v>13900</v>
          </cell>
          <cell r="AA5">
            <v>14900</v>
          </cell>
          <cell r="AB5">
            <v>16400</v>
          </cell>
          <cell r="AC5">
            <v>18100</v>
          </cell>
          <cell r="AD5">
            <v>19500</v>
          </cell>
          <cell r="AE5">
            <v>20500</v>
          </cell>
          <cell r="AF5">
            <v>22200</v>
          </cell>
          <cell r="AG5">
            <v>23400</v>
          </cell>
          <cell r="AH5">
            <v>24600</v>
          </cell>
          <cell r="AI5">
            <v>26700</v>
          </cell>
          <cell r="AJ5">
            <v>28800</v>
          </cell>
          <cell r="AK5">
            <v>31200</v>
          </cell>
          <cell r="AL5">
            <v>33600</v>
          </cell>
          <cell r="AM5">
            <v>37200</v>
          </cell>
          <cell r="AN5">
            <v>39000</v>
          </cell>
          <cell r="AO5">
            <v>41100</v>
          </cell>
          <cell r="AP5">
            <v>45300</v>
          </cell>
          <cell r="AQ5">
            <v>50100</v>
          </cell>
          <cell r="AR5">
            <v>53850</v>
          </cell>
          <cell r="AS5">
            <v>57900</v>
          </cell>
        </row>
        <row r="6">
          <cell r="U6">
            <v>10000</v>
          </cell>
          <cell r="V6">
            <v>10800</v>
          </cell>
          <cell r="W6">
            <v>11400</v>
          </cell>
          <cell r="X6">
            <v>12000</v>
          </cell>
          <cell r="Y6">
            <v>13000</v>
          </cell>
          <cell r="Z6">
            <v>14200</v>
          </cell>
          <cell r="AA6">
            <v>15250</v>
          </cell>
          <cell r="AB6">
            <v>16800</v>
          </cell>
          <cell r="AC6">
            <v>18550</v>
          </cell>
          <cell r="AD6">
            <v>20000</v>
          </cell>
          <cell r="AE6">
            <v>21000</v>
          </cell>
          <cell r="AF6">
            <v>22800</v>
          </cell>
          <cell r="AG6">
            <v>24000</v>
          </cell>
          <cell r="AH6">
            <v>25300</v>
          </cell>
          <cell r="AI6">
            <v>27400</v>
          </cell>
          <cell r="AJ6">
            <v>29600</v>
          </cell>
          <cell r="AK6">
            <v>32000</v>
          </cell>
          <cell r="AL6">
            <v>34500</v>
          </cell>
          <cell r="AM6">
            <v>38100</v>
          </cell>
          <cell r="AN6">
            <v>40050</v>
          </cell>
          <cell r="AO6">
            <v>42150</v>
          </cell>
          <cell r="AP6">
            <v>46500</v>
          </cell>
          <cell r="AQ6">
            <v>51300</v>
          </cell>
          <cell r="AR6">
            <v>55200</v>
          </cell>
          <cell r="AS6">
            <v>59250</v>
          </cell>
        </row>
        <row r="7">
          <cell r="U7">
            <v>10200</v>
          </cell>
          <cell r="V7">
            <v>11000</v>
          </cell>
          <cell r="W7">
            <v>11600</v>
          </cell>
          <cell r="X7">
            <v>12250</v>
          </cell>
          <cell r="Y7">
            <v>13300</v>
          </cell>
          <cell r="Z7">
            <v>14550</v>
          </cell>
          <cell r="AA7">
            <v>15600</v>
          </cell>
          <cell r="AB7">
            <v>17200</v>
          </cell>
          <cell r="AC7">
            <v>19000</v>
          </cell>
          <cell r="AD7">
            <v>20500</v>
          </cell>
          <cell r="AE7">
            <v>21600</v>
          </cell>
          <cell r="AF7">
            <v>23400</v>
          </cell>
          <cell r="AG7">
            <v>24600</v>
          </cell>
          <cell r="AH7">
            <v>26000</v>
          </cell>
          <cell r="AI7">
            <v>28100</v>
          </cell>
          <cell r="AJ7">
            <v>30400</v>
          </cell>
          <cell r="AK7">
            <v>32800</v>
          </cell>
          <cell r="AL7">
            <v>35400</v>
          </cell>
          <cell r="AM7">
            <v>39000</v>
          </cell>
          <cell r="AN7">
            <v>41100</v>
          </cell>
          <cell r="AO7">
            <v>43200</v>
          </cell>
          <cell r="AP7">
            <v>47700</v>
          </cell>
          <cell r="AQ7">
            <v>52500</v>
          </cell>
          <cell r="AR7">
            <v>56550</v>
          </cell>
          <cell r="AS7">
            <v>60600</v>
          </cell>
        </row>
        <row r="8">
          <cell r="U8">
            <v>10400</v>
          </cell>
          <cell r="V8">
            <v>11200</v>
          </cell>
          <cell r="W8">
            <v>11800</v>
          </cell>
          <cell r="X8">
            <v>12500</v>
          </cell>
          <cell r="Y8">
            <v>13600</v>
          </cell>
          <cell r="Z8">
            <v>14900</v>
          </cell>
          <cell r="AA8">
            <v>16000</v>
          </cell>
          <cell r="AB8">
            <v>17650</v>
          </cell>
          <cell r="AC8">
            <v>19500</v>
          </cell>
          <cell r="AD8">
            <v>21000</v>
          </cell>
          <cell r="AE8">
            <v>22200</v>
          </cell>
          <cell r="AF8">
            <v>24000</v>
          </cell>
          <cell r="AG8">
            <v>25300</v>
          </cell>
          <cell r="AH8">
            <v>26700</v>
          </cell>
          <cell r="AI8">
            <v>28800</v>
          </cell>
          <cell r="AJ8">
            <v>31200</v>
          </cell>
          <cell r="AK8">
            <v>33600</v>
          </cell>
          <cell r="AL8">
            <v>36300</v>
          </cell>
          <cell r="AM8">
            <v>40050</v>
          </cell>
          <cell r="AN8">
            <v>42150</v>
          </cell>
          <cell r="AO8">
            <v>44250</v>
          </cell>
          <cell r="AP8">
            <v>48900</v>
          </cell>
          <cell r="AQ8">
            <v>53850</v>
          </cell>
          <cell r="AR8">
            <v>57900</v>
          </cell>
          <cell r="AS8">
            <v>62100</v>
          </cell>
        </row>
        <row r="9">
          <cell r="U9">
            <v>10600</v>
          </cell>
          <cell r="V9">
            <v>11400</v>
          </cell>
          <cell r="W9">
            <v>12000</v>
          </cell>
          <cell r="X9">
            <v>12750</v>
          </cell>
          <cell r="Y9">
            <v>13900</v>
          </cell>
          <cell r="Z9">
            <v>15250</v>
          </cell>
          <cell r="AA9">
            <v>16400</v>
          </cell>
          <cell r="AB9">
            <v>18100</v>
          </cell>
          <cell r="AC9">
            <v>20000</v>
          </cell>
          <cell r="AD9">
            <v>21600</v>
          </cell>
          <cell r="AE9">
            <v>22800</v>
          </cell>
          <cell r="AF9">
            <v>24600</v>
          </cell>
          <cell r="AG9">
            <v>26000</v>
          </cell>
          <cell r="AH9">
            <v>27400</v>
          </cell>
          <cell r="AI9">
            <v>29600</v>
          </cell>
          <cell r="AJ9">
            <v>32000</v>
          </cell>
          <cell r="AK9">
            <v>34500</v>
          </cell>
          <cell r="AL9">
            <v>37200</v>
          </cell>
          <cell r="AM9">
            <v>41100</v>
          </cell>
          <cell r="AN9">
            <v>43200</v>
          </cell>
          <cell r="AO9">
            <v>45300</v>
          </cell>
          <cell r="AP9">
            <v>50100</v>
          </cell>
          <cell r="AQ9">
            <v>55200</v>
          </cell>
          <cell r="AR9">
            <v>59250</v>
          </cell>
          <cell r="AS9">
            <v>63600</v>
          </cell>
        </row>
        <row r="10">
          <cell r="U10">
            <v>10800</v>
          </cell>
          <cell r="V10">
            <v>11600</v>
          </cell>
          <cell r="W10">
            <v>12250</v>
          </cell>
          <cell r="X10">
            <v>13000</v>
          </cell>
          <cell r="Y10">
            <v>14200</v>
          </cell>
          <cell r="Z10">
            <v>15600</v>
          </cell>
          <cell r="AA10">
            <v>16800</v>
          </cell>
          <cell r="AB10">
            <v>18550</v>
          </cell>
          <cell r="AC10">
            <v>20500</v>
          </cell>
          <cell r="AD10">
            <v>22200</v>
          </cell>
          <cell r="AE10">
            <v>23400</v>
          </cell>
          <cell r="AF10">
            <v>25300</v>
          </cell>
          <cell r="AG10">
            <v>26700</v>
          </cell>
          <cell r="AH10">
            <v>28100</v>
          </cell>
          <cell r="AI10">
            <v>30400</v>
          </cell>
          <cell r="AJ10">
            <v>32800</v>
          </cell>
          <cell r="AK10">
            <v>35400</v>
          </cell>
          <cell r="AL10">
            <v>38100</v>
          </cell>
          <cell r="AM10">
            <v>42150</v>
          </cell>
          <cell r="AN10">
            <v>44250</v>
          </cell>
          <cell r="AO10">
            <v>46500</v>
          </cell>
          <cell r="AP10">
            <v>51300</v>
          </cell>
          <cell r="AQ10">
            <v>56550</v>
          </cell>
          <cell r="AR10">
            <v>60600</v>
          </cell>
          <cell r="AS10">
            <v>65100</v>
          </cell>
        </row>
        <row r="11">
          <cell r="U11">
            <v>11000</v>
          </cell>
          <cell r="V11">
            <v>11800</v>
          </cell>
          <cell r="W11">
            <v>12500</v>
          </cell>
          <cell r="X11">
            <v>13300</v>
          </cell>
          <cell r="Y11">
            <v>14550</v>
          </cell>
          <cell r="Z11">
            <v>16000</v>
          </cell>
          <cell r="AA11">
            <v>17200</v>
          </cell>
          <cell r="AB11">
            <v>19000</v>
          </cell>
          <cell r="AC11">
            <v>21000</v>
          </cell>
          <cell r="AD11">
            <v>22800</v>
          </cell>
          <cell r="AE11">
            <v>24000</v>
          </cell>
          <cell r="AF11">
            <v>26000</v>
          </cell>
          <cell r="AG11">
            <v>27400</v>
          </cell>
          <cell r="AH11">
            <v>28800</v>
          </cell>
          <cell r="AI11">
            <v>31200</v>
          </cell>
          <cell r="AJ11">
            <v>33600</v>
          </cell>
          <cell r="AK11">
            <v>36300</v>
          </cell>
          <cell r="AL11">
            <v>39000</v>
          </cell>
          <cell r="AM11">
            <v>43200</v>
          </cell>
          <cell r="AN11">
            <v>45300</v>
          </cell>
          <cell r="AO11">
            <v>47700</v>
          </cell>
          <cell r="AP11">
            <v>52500</v>
          </cell>
          <cell r="AQ11">
            <v>57900</v>
          </cell>
          <cell r="AR11">
            <v>62100</v>
          </cell>
          <cell r="AS11">
            <v>66600</v>
          </cell>
        </row>
        <row r="12">
          <cell r="U12">
            <v>11200</v>
          </cell>
          <cell r="V12">
            <v>12000</v>
          </cell>
          <cell r="W12">
            <v>12750</v>
          </cell>
          <cell r="X12">
            <v>13600</v>
          </cell>
          <cell r="Y12">
            <v>14900</v>
          </cell>
          <cell r="Z12">
            <v>16400</v>
          </cell>
          <cell r="AA12">
            <v>17650</v>
          </cell>
          <cell r="AB12">
            <v>19500</v>
          </cell>
          <cell r="AC12">
            <v>21600</v>
          </cell>
          <cell r="AD12">
            <v>23400</v>
          </cell>
          <cell r="AE12">
            <v>24600</v>
          </cell>
          <cell r="AF12">
            <v>26700</v>
          </cell>
          <cell r="AG12">
            <v>28100</v>
          </cell>
          <cell r="AH12">
            <v>29600</v>
          </cell>
          <cell r="AI12">
            <v>32000</v>
          </cell>
          <cell r="AJ12">
            <v>34500</v>
          </cell>
          <cell r="AK12">
            <v>37200</v>
          </cell>
          <cell r="AL12">
            <v>40050</v>
          </cell>
          <cell r="AM12">
            <v>44250</v>
          </cell>
          <cell r="AN12">
            <v>46500</v>
          </cell>
          <cell r="AO12">
            <v>48900</v>
          </cell>
          <cell r="AP12">
            <v>53850</v>
          </cell>
          <cell r="AQ12">
            <v>59250</v>
          </cell>
          <cell r="AR12">
            <v>63600</v>
          </cell>
          <cell r="AS12">
            <v>68100</v>
          </cell>
        </row>
        <row r="13">
          <cell r="U13">
            <v>11400</v>
          </cell>
          <cell r="V13">
            <v>12250</v>
          </cell>
          <cell r="W13">
            <v>13000</v>
          </cell>
          <cell r="X13">
            <v>13900</v>
          </cell>
          <cell r="Y13">
            <v>15250</v>
          </cell>
          <cell r="Z13">
            <v>16800</v>
          </cell>
          <cell r="AA13">
            <v>18100</v>
          </cell>
          <cell r="AB13">
            <v>20000</v>
          </cell>
          <cell r="AC13">
            <v>22200</v>
          </cell>
          <cell r="AD13">
            <v>24000</v>
          </cell>
          <cell r="AE13">
            <v>25300</v>
          </cell>
          <cell r="AF13">
            <v>27400</v>
          </cell>
          <cell r="AG13">
            <v>28800</v>
          </cell>
          <cell r="AH13">
            <v>30400</v>
          </cell>
          <cell r="AI13">
            <v>32800</v>
          </cell>
          <cell r="AJ13">
            <v>35400</v>
          </cell>
          <cell r="AK13">
            <v>38100</v>
          </cell>
          <cell r="AL13">
            <v>41100</v>
          </cell>
          <cell r="AM13">
            <v>45300</v>
          </cell>
          <cell r="AN13">
            <v>47700</v>
          </cell>
          <cell r="AO13">
            <v>50100</v>
          </cell>
          <cell r="AP13">
            <v>55200</v>
          </cell>
          <cell r="AQ13">
            <v>60600</v>
          </cell>
          <cell r="AR13">
            <v>65100</v>
          </cell>
          <cell r="AS13">
            <v>69600</v>
          </cell>
        </row>
        <row r="14">
          <cell r="U14">
            <v>11600</v>
          </cell>
          <cell r="V14">
            <v>12500</v>
          </cell>
          <cell r="W14">
            <v>13300</v>
          </cell>
          <cell r="X14">
            <v>14200</v>
          </cell>
          <cell r="Y14">
            <v>15600</v>
          </cell>
          <cell r="Z14">
            <v>17200</v>
          </cell>
          <cell r="AA14">
            <v>18550</v>
          </cell>
          <cell r="AB14">
            <v>20500</v>
          </cell>
          <cell r="AC14">
            <v>22800</v>
          </cell>
          <cell r="AD14">
            <v>24600</v>
          </cell>
          <cell r="AE14">
            <v>26000</v>
          </cell>
          <cell r="AF14">
            <v>28100</v>
          </cell>
          <cell r="AG14">
            <v>29600</v>
          </cell>
          <cell r="AH14">
            <v>31200</v>
          </cell>
          <cell r="AI14">
            <v>33600</v>
          </cell>
          <cell r="AJ14">
            <v>36300</v>
          </cell>
          <cell r="AK14">
            <v>39000</v>
          </cell>
          <cell r="AL14">
            <v>42150</v>
          </cell>
          <cell r="AM14">
            <v>46500</v>
          </cell>
          <cell r="AN14">
            <v>48900</v>
          </cell>
          <cell r="AO14">
            <v>51300</v>
          </cell>
          <cell r="AP14">
            <v>56550</v>
          </cell>
          <cell r="AQ14">
            <v>62100</v>
          </cell>
          <cell r="AR14">
            <v>66600</v>
          </cell>
          <cell r="AS14">
            <v>71300</v>
          </cell>
        </row>
        <row r="15">
          <cell r="U15">
            <v>11800</v>
          </cell>
          <cell r="V15">
            <v>12750</v>
          </cell>
          <cell r="W15">
            <v>13600</v>
          </cell>
          <cell r="X15">
            <v>14550</v>
          </cell>
          <cell r="Y15">
            <v>16000</v>
          </cell>
          <cell r="Z15">
            <v>17650</v>
          </cell>
          <cell r="AA15">
            <v>19000</v>
          </cell>
          <cell r="AB15">
            <v>21000</v>
          </cell>
          <cell r="AC15">
            <v>23400</v>
          </cell>
          <cell r="AD15">
            <v>25300</v>
          </cell>
          <cell r="AE15">
            <v>26700</v>
          </cell>
          <cell r="AF15">
            <v>28800</v>
          </cell>
          <cell r="AG15">
            <v>30400</v>
          </cell>
          <cell r="AH15">
            <v>32000</v>
          </cell>
          <cell r="AI15">
            <v>34500</v>
          </cell>
          <cell r="AJ15">
            <v>37200</v>
          </cell>
          <cell r="AK15">
            <v>40050</v>
          </cell>
          <cell r="AL15">
            <v>43200</v>
          </cell>
          <cell r="AM15">
            <v>47700</v>
          </cell>
          <cell r="AN15">
            <v>50100</v>
          </cell>
          <cell r="AO15">
            <v>52500</v>
          </cell>
          <cell r="AP15">
            <v>57900</v>
          </cell>
          <cell r="AQ15">
            <v>63600</v>
          </cell>
          <cell r="AR15">
            <v>68100</v>
          </cell>
          <cell r="AS15">
            <v>73000</v>
          </cell>
        </row>
        <row r="16">
          <cell r="U16">
            <v>12000</v>
          </cell>
          <cell r="V16">
            <v>13000</v>
          </cell>
          <cell r="W16">
            <v>13900</v>
          </cell>
          <cell r="X16">
            <v>14900</v>
          </cell>
          <cell r="Y16">
            <v>16400</v>
          </cell>
          <cell r="Z16">
            <v>18100</v>
          </cell>
          <cell r="AA16">
            <v>19500</v>
          </cell>
          <cell r="AB16">
            <v>21600</v>
          </cell>
          <cell r="AC16">
            <v>24000</v>
          </cell>
          <cell r="AD16">
            <v>26000</v>
          </cell>
          <cell r="AE16">
            <v>27400</v>
          </cell>
          <cell r="AF16">
            <v>29600</v>
          </cell>
          <cell r="AG16">
            <v>31200</v>
          </cell>
          <cell r="AH16">
            <v>32800</v>
          </cell>
          <cell r="AI16">
            <v>35400</v>
          </cell>
          <cell r="AJ16">
            <v>38100</v>
          </cell>
          <cell r="AK16">
            <v>41100</v>
          </cell>
          <cell r="AL16">
            <v>44250</v>
          </cell>
          <cell r="AM16">
            <v>48900</v>
          </cell>
          <cell r="AN16">
            <v>51300</v>
          </cell>
          <cell r="AO16">
            <v>53850</v>
          </cell>
          <cell r="AP16">
            <v>59250</v>
          </cell>
          <cell r="AR16">
            <v>69600</v>
          </cell>
          <cell r="AS16">
            <v>74700</v>
          </cell>
        </row>
        <row r="17">
          <cell r="U17">
            <v>12250</v>
          </cell>
          <cell r="V17">
            <v>13300</v>
          </cell>
          <cell r="W17">
            <v>14200</v>
          </cell>
          <cell r="X17">
            <v>15250</v>
          </cell>
          <cell r="Y17">
            <v>16800</v>
          </cell>
          <cell r="Z17">
            <v>18550</v>
          </cell>
          <cell r="AA17">
            <v>20000</v>
          </cell>
          <cell r="AB17">
            <v>22200</v>
          </cell>
          <cell r="AC17">
            <v>24600</v>
          </cell>
          <cell r="AD17">
            <v>26700</v>
          </cell>
          <cell r="AE17">
            <v>28100</v>
          </cell>
          <cell r="AF17">
            <v>30400</v>
          </cell>
          <cell r="AG17">
            <v>32000</v>
          </cell>
          <cell r="AH17">
            <v>33600</v>
          </cell>
          <cell r="AI17">
            <v>36300</v>
          </cell>
          <cell r="AJ17">
            <v>39000</v>
          </cell>
          <cell r="AK17">
            <v>42150</v>
          </cell>
          <cell r="AL17">
            <v>45300</v>
          </cell>
          <cell r="AM17">
            <v>50100</v>
          </cell>
          <cell r="AN17">
            <v>52500</v>
          </cell>
          <cell r="AO17">
            <v>55200</v>
          </cell>
          <cell r="AP17">
            <v>60600</v>
          </cell>
          <cell r="AR17">
            <v>71300</v>
          </cell>
          <cell r="AS17">
            <v>76400</v>
          </cell>
        </row>
        <row r="18">
          <cell r="U18">
            <v>12500</v>
          </cell>
          <cell r="V18">
            <v>13600</v>
          </cell>
          <cell r="W18">
            <v>14550</v>
          </cell>
          <cell r="X18">
            <v>15600</v>
          </cell>
          <cell r="Y18">
            <v>17200</v>
          </cell>
          <cell r="Z18">
            <v>19000</v>
          </cell>
          <cell r="AA18">
            <v>20500</v>
          </cell>
          <cell r="AB18">
            <v>22800</v>
          </cell>
          <cell r="AC18">
            <v>25300</v>
          </cell>
          <cell r="AD18">
            <v>27400</v>
          </cell>
          <cell r="AE18">
            <v>28800</v>
          </cell>
          <cell r="AF18">
            <v>31200</v>
          </cell>
          <cell r="AG18">
            <v>32800</v>
          </cell>
          <cell r="AH18">
            <v>34500</v>
          </cell>
          <cell r="AI18">
            <v>37200</v>
          </cell>
          <cell r="AJ18">
            <v>40050</v>
          </cell>
          <cell r="AK18">
            <v>43200</v>
          </cell>
          <cell r="AL18">
            <v>46500</v>
          </cell>
          <cell r="AM18">
            <v>51300</v>
          </cell>
          <cell r="AN18">
            <v>53850</v>
          </cell>
          <cell r="AO18">
            <v>56550</v>
          </cell>
          <cell r="AR18">
            <v>73000</v>
          </cell>
          <cell r="AS18">
            <v>78100</v>
          </cell>
        </row>
        <row r="19">
          <cell r="U19">
            <v>12750</v>
          </cell>
          <cell r="V19">
            <v>13900</v>
          </cell>
          <cell r="W19">
            <v>14900</v>
          </cell>
          <cell r="X19">
            <v>16000</v>
          </cell>
          <cell r="Y19">
            <v>17650</v>
          </cell>
          <cell r="Z19">
            <v>19500</v>
          </cell>
          <cell r="AA19">
            <v>21000</v>
          </cell>
          <cell r="AB19">
            <v>23400</v>
          </cell>
          <cell r="AC19">
            <v>26000</v>
          </cell>
          <cell r="AD19">
            <v>28100</v>
          </cell>
          <cell r="AE19">
            <v>29600</v>
          </cell>
          <cell r="AF19">
            <v>32000</v>
          </cell>
          <cell r="AG19">
            <v>33600</v>
          </cell>
          <cell r="AH19">
            <v>35400</v>
          </cell>
          <cell r="AI19">
            <v>38100</v>
          </cell>
          <cell r="AJ19">
            <v>41100</v>
          </cell>
          <cell r="AK19">
            <v>44250</v>
          </cell>
          <cell r="AL19">
            <v>47700</v>
          </cell>
          <cell r="AM19">
            <v>52500</v>
          </cell>
          <cell r="AN19">
            <v>55200</v>
          </cell>
          <cell r="AS19">
            <v>79800</v>
          </cell>
        </row>
        <row r="20">
          <cell r="U20">
            <v>13000</v>
          </cell>
          <cell r="V20">
            <v>14200</v>
          </cell>
          <cell r="W20">
            <v>15250</v>
          </cell>
          <cell r="X20">
            <v>16400</v>
          </cell>
          <cell r="Y20">
            <v>18100</v>
          </cell>
          <cell r="Z20">
            <v>20000</v>
          </cell>
          <cell r="AA20">
            <v>21600</v>
          </cell>
          <cell r="AB20">
            <v>24000</v>
          </cell>
          <cell r="AC20">
            <v>26700</v>
          </cell>
          <cell r="AD20">
            <v>28800</v>
          </cell>
          <cell r="AE20">
            <v>30400</v>
          </cell>
          <cell r="AF20">
            <v>32800</v>
          </cell>
          <cell r="AG20">
            <v>34500</v>
          </cell>
          <cell r="AH20">
            <v>36300</v>
          </cell>
          <cell r="AI20">
            <v>39000</v>
          </cell>
          <cell r="AJ20">
            <v>42150</v>
          </cell>
          <cell r="AK20">
            <v>45300</v>
          </cell>
          <cell r="AL20">
            <v>48900</v>
          </cell>
          <cell r="AM20">
            <v>53850</v>
          </cell>
        </row>
        <row r="21">
          <cell r="U21">
            <v>13300</v>
          </cell>
          <cell r="V21">
            <v>14550</v>
          </cell>
          <cell r="W21">
            <v>15600</v>
          </cell>
          <cell r="X21">
            <v>16800</v>
          </cell>
          <cell r="Y21">
            <v>18550</v>
          </cell>
          <cell r="Z21">
            <v>20500</v>
          </cell>
          <cell r="AA21">
            <v>22200</v>
          </cell>
          <cell r="AB21">
            <v>24600</v>
          </cell>
          <cell r="AC21">
            <v>27400</v>
          </cell>
          <cell r="AD21">
            <v>29600</v>
          </cell>
          <cell r="AE21">
            <v>31200</v>
          </cell>
          <cell r="AF21">
            <v>33600</v>
          </cell>
          <cell r="AG21">
            <v>35400</v>
          </cell>
          <cell r="AH21">
            <v>37200</v>
          </cell>
          <cell r="AI21">
            <v>40050</v>
          </cell>
          <cell r="AJ21">
            <v>43200</v>
          </cell>
          <cell r="AK21">
            <v>46500</v>
          </cell>
          <cell r="AL21">
            <v>50100</v>
          </cell>
        </row>
        <row r="22">
          <cell r="U22">
            <v>13600</v>
          </cell>
          <cell r="V22">
            <v>14900</v>
          </cell>
          <cell r="W22">
            <v>16000</v>
          </cell>
          <cell r="X22">
            <v>17200</v>
          </cell>
          <cell r="Y22">
            <v>19000</v>
          </cell>
          <cell r="Z22">
            <v>21000</v>
          </cell>
          <cell r="AA22">
            <v>22800</v>
          </cell>
          <cell r="AB22">
            <v>25300</v>
          </cell>
          <cell r="AC22">
            <v>28100</v>
          </cell>
          <cell r="AD22">
            <v>30400</v>
          </cell>
          <cell r="AE22">
            <v>32000</v>
          </cell>
          <cell r="AF22">
            <v>34500</v>
          </cell>
          <cell r="AG22">
            <v>36300</v>
          </cell>
          <cell r="AH22">
            <v>38100</v>
          </cell>
          <cell r="AI22">
            <v>41100</v>
          </cell>
          <cell r="AJ22">
            <v>44250</v>
          </cell>
          <cell r="AK22">
            <v>47700</v>
          </cell>
          <cell r="AL22">
            <v>51300</v>
          </cell>
        </row>
        <row r="23">
          <cell r="U23">
            <v>13900</v>
          </cell>
          <cell r="V23">
            <v>15250</v>
          </cell>
          <cell r="W23">
            <v>16400</v>
          </cell>
          <cell r="X23">
            <v>17650</v>
          </cell>
          <cell r="Y23">
            <v>19500</v>
          </cell>
          <cell r="Z23">
            <v>21600</v>
          </cell>
          <cell r="AA23">
            <v>23400</v>
          </cell>
          <cell r="AB23">
            <v>26000</v>
          </cell>
          <cell r="AC23">
            <v>28800</v>
          </cell>
          <cell r="AD23">
            <v>31200</v>
          </cell>
          <cell r="AE23">
            <v>32800</v>
          </cell>
          <cell r="AF23">
            <v>35400</v>
          </cell>
          <cell r="AG23">
            <v>37200</v>
          </cell>
          <cell r="AH23">
            <v>39000</v>
          </cell>
          <cell r="AI23">
            <v>42150</v>
          </cell>
          <cell r="AJ23">
            <v>45300</v>
          </cell>
          <cell r="AK23">
            <v>48900</v>
          </cell>
          <cell r="AL23">
            <v>52500</v>
          </cell>
        </row>
        <row r="24">
          <cell r="U24">
            <v>14200</v>
          </cell>
          <cell r="V24">
            <v>15600</v>
          </cell>
          <cell r="W24">
            <v>16800</v>
          </cell>
          <cell r="X24">
            <v>18100</v>
          </cell>
          <cell r="Y24">
            <v>20000</v>
          </cell>
          <cell r="Z24">
            <v>22200</v>
          </cell>
          <cell r="AA24">
            <v>24000</v>
          </cell>
          <cell r="AB24">
            <v>26700</v>
          </cell>
          <cell r="AC24">
            <v>29600</v>
          </cell>
          <cell r="AD24">
            <v>32000</v>
          </cell>
          <cell r="AE24">
            <v>33600</v>
          </cell>
          <cell r="AF24">
            <v>36300</v>
          </cell>
          <cell r="AG24">
            <v>38100</v>
          </cell>
          <cell r="AH24">
            <v>40050</v>
          </cell>
          <cell r="AI24">
            <v>43200</v>
          </cell>
          <cell r="AJ24">
            <v>46500</v>
          </cell>
          <cell r="AK24">
            <v>50100</v>
          </cell>
        </row>
        <row r="25">
          <cell r="U25">
            <v>14550</v>
          </cell>
          <cell r="V25">
            <v>16000</v>
          </cell>
          <cell r="W25">
            <v>17200</v>
          </cell>
          <cell r="X25">
            <v>18550</v>
          </cell>
          <cell r="Y25">
            <v>20500</v>
          </cell>
          <cell r="Z25">
            <v>22800</v>
          </cell>
          <cell r="AA25">
            <v>24600</v>
          </cell>
          <cell r="AB25">
            <v>27400</v>
          </cell>
          <cell r="AC25">
            <v>30400</v>
          </cell>
          <cell r="AD25">
            <v>32800</v>
          </cell>
          <cell r="AE25">
            <v>34500</v>
          </cell>
          <cell r="AF25">
            <v>37200</v>
          </cell>
          <cell r="AG25">
            <v>39000</v>
          </cell>
          <cell r="AH25">
            <v>41100</v>
          </cell>
          <cell r="AI25">
            <v>44250</v>
          </cell>
          <cell r="AJ25">
            <v>47700</v>
          </cell>
          <cell r="AK25">
            <v>51300</v>
          </cell>
        </row>
        <row r="26">
          <cell r="V26">
            <v>16400</v>
          </cell>
          <cell r="W26">
            <v>17650</v>
          </cell>
          <cell r="X26">
            <v>19000</v>
          </cell>
          <cell r="Y26">
            <v>21000</v>
          </cell>
          <cell r="Z26">
            <v>23400</v>
          </cell>
          <cell r="AA26">
            <v>25300</v>
          </cell>
          <cell r="AB26">
            <v>28100</v>
          </cell>
          <cell r="AC26">
            <v>31200</v>
          </cell>
          <cell r="AD26">
            <v>33600</v>
          </cell>
          <cell r="AE26">
            <v>35400</v>
          </cell>
          <cell r="AF26">
            <v>38100</v>
          </cell>
          <cell r="AG26">
            <v>40050</v>
          </cell>
          <cell r="AH26">
            <v>42150</v>
          </cell>
          <cell r="AI26">
            <v>45300</v>
          </cell>
          <cell r="AJ26">
            <v>48900</v>
          </cell>
        </row>
        <row r="27">
          <cell r="W27">
            <v>18100</v>
          </cell>
          <cell r="X27">
            <v>19500</v>
          </cell>
          <cell r="Y27">
            <v>21600</v>
          </cell>
          <cell r="Z27">
            <v>24000</v>
          </cell>
          <cell r="AA27">
            <v>26000</v>
          </cell>
          <cell r="AB27">
            <v>28800</v>
          </cell>
          <cell r="AC27">
            <v>32000</v>
          </cell>
          <cell r="AD27">
            <v>34500</v>
          </cell>
          <cell r="AE27">
            <v>36300</v>
          </cell>
          <cell r="AF27">
            <v>39000</v>
          </cell>
          <cell r="AG27">
            <v>41100</v>
          </cell>
          <cell r="AH27">
            <v>43200</v>
          </cell>
          <cell r="AI27">
            <v>46500</v>
          </cell>
          <cell r="AJ27">
            <v>50100</v>
          </cell>
        </row>
        <row r="28">
          <cell r="W28">
            <v>18550</v>
          </cell>
          <cell r="X28">
            <v>20000</v>
          </cell>
          <cell r="Y28">
            <v>22200</v>
          </cell>
          <cell r="Z28">
            <v>24600</v>
          </cell>
          <cell r="AA28">
            <v>26700</v>
          </cell>
          <cell r="AB28">
            <v>29600</v>
          </cell>
          <cell r="AF28">
            <v>40050</v>
          </cell>
          <cell r="AG28">
            <v>42150</v>
          </cell>
          <cell r="AH28">
            <v>44250</v>
          </cell>
          <cell r="AI28">
            <v>47700</v>
          </cell>
        </row>
        <row r="29">
          <cell r="W29">
            <v>19000</v>
          </cell>
          <cell r="X29">
            <v>20500</v>
          </cell>
          <cell r="Y29">
            <v>22800</v>
          </cell>
          <cell r="Z29">
            <v>25300</v>
          </cell>
          <cell r="AG29">
            <v>43200</v>
          </cell>
          <cell r="AH29">
            <v>45300</v>
          </cell>
        </row>
        <row r="30">
          <cell r="X30">
            <v>21000</v>
          </cell>
          <cell r="Y30">
            <v>23400</v>
          </cell>
          <cell r="Z30">
            <v>26000</v>
          </cell>
        </row>
        <row r="31">
          <cell r="Y31">
            <v>24000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image" Target="../media/image6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P14"/>
  <sheetViews>
    <sheetView showGridLines="0" zoomScale="90" zoomScaleNormal="90" workbookViewId="0">
      <selection sqref="A1:XFD1048576"/>
    </sheetView>
  </sheetViews>
  <sheetFormatPr defaultRowHeight="27" customHeight="1"/>
  <cols>
    <col min="1" max="16384" width="9.140625" style="234"/>
  </cols>
  <sheetData>
    <row r="1" spans="1:16" ht="27" customHeight="1">
      <c r="A1" s="233" t="s">
        <v>68</v>
      </c>
    </row>
    <row r="2" spans="1:16" ht="189.75" customHeight="1">
      <c r="A2" s="233"/>
    </row>
    <row r="3" spans="1:16" ht="27" customHeight="1">
      <c r="A3" s="235" t="s">
        <v>240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</row>
    <row r="4" spans="1:16" ht="27" customHeight="1">
      <c r="A4" s="235" t="s">
        <v>74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</row>
    <row r="5" spans="1:16" ht="30.75" customHeight="1">
      <c r="A5" s="235" t="s">
        <v>242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</row>
    <row r="6" spans="1:16" ht="27" customHeight="1">
      <c r="A6" s="235" t="s">
        <v>73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</row>
    <row r="7" spans="1:16" ht="27" customHeight="1">
      <c r="A7" s="235" t="s">
        <v>69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</row>
    <row r="8" spans="1:16" ht="27" customHeight="1">
      <c r="A8" s="235" t="s">
        <v>90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</row>
    <row r="9" spans="1:16" ht="27" customHeight="1">
      <c r="A9" s="235" t="s">
        <v>71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</row>
    <row r="10" spans="1:16" ht="27" customHeight="1">
      <c r="A10" s="235" t="s">
        <v>208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</row>
    <row r="11" spans="1:16" ht="27" customHeight="1">
      <c r="A11" s="235" t="s">
        <v>72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</row>
    <row r="12" spans="1:16" ht="27" customHeight="1">
      <c r="A12" s="235" t="s">
        <v>209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</row>
    <row r="13" spans="1:16" ht="27" customHeight="1">
      <c r="A13" s="235" t="s">
        <v>96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</row>
    <row r="14" spans="1:16" ht="24.75" customHeight="1">
      <c r="A14" s="235" t="s">
        <v>89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</row>
  </sheetData>
  <sheetProtection password="EC00" sheet="1" objects="1" scenarios="1" selectLockedCells="1"/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121" r:id="rId4" name="CommandButton1">
          <controlPr autoLine="0" r:id="rId5">
            <anchor moveWithCells="1">
              <from>
                <xdr:col>11</xdr:col>
                <xdr:colOff>38100</xdr:colOff>
                <xdr:row>2</xdr:row>
                <xdr:rowOff>0</xdr:rowOff>
              </from>
              <to>
                <xdr:col>16</xdr:col>
                <xdr:colOff>76200</xdr:colOff>
                <xdr:row>3</xdr:row>
                <xdr:rowOff>152400</xdr:rowOff>
              </to>
            </anchor>
          </controlPr>
        </control>
      </mc:Choice>
      <mc:Fallback>
        <control shapeId="5121" r:id="rId4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BR80"/>
  <sheetViews>
    <sheetView showGridLines="0" tabSelected="1" zoomScale="120" zoomScaleNormal="120" zoomScaleSheetLayoutView="100" workbookViewId="0">
      <selection activeCell="J23" sqref="J23"/>
    </sheetView>
  </sheetViews>
  <sheetFormatPr defaultRowHeight="26.25" customHeight="1"/>
  <cols>
    <col min="1" max="1" width="53" customWidth="1"/>
    <col min="2" max="2" width="5.140625" customWidth="1"/>
    <col min="3" max="3" width="13.28515625" customWidth="1"/>
    <col min="4" max="4" width="7.85546875" customWidth="1"/>
    <col min="5" max="8" width="9.42578125" customWidth="1"/>
    <col min="9" max="9" width="8.85546875" customWidth="1"/>
    <col min="10" max="10" width="7.85546875" customWidth="1"/>
    <col min="11" max="11" width="8.5703125" hidden="1" customWidth="1"/>
    <col min="12" max="12" width="8.7109375" hidden="1" customWidth="1"/>
    <col min="13" max="13" width="6.5703125" hidden="1" customWidth="1"/>
    <col min="14" max="14" width="9.140625" hidden="1" customWidth="1"/>
    <col min="15" max="88" width="5.28515625" hidden="1" customWidth="1"/>
    <col min="89" max="106" width="6.140625" hidden="1" customWidth="1"/>
  </cols>
  <sheetData>
    <row r="1" spans="1:106" ht="29.25" customHeight="1">
      <c r="A1" s="257" t="s">
        <v>95</v>
      </c>
      <c r="B1" s="258"/>
      <c r="C1" s="258"/>
      <c r="D1" s="258"/>
      <c r="E1" s="258"/>
      <c r="F1" s="258"/>
      <c r="G1" s="258"/>
      <c r="H1" s="258"/>
      <c r="I1" s="258"/>
      <c r="J1" s="259"/>
      <c r="K1" s="19">
        <f>C11</f>
        <v>62600</v>
      </c>
      <c r="L1" s="19"/>
      <c r="M1" s="58"/>
      <c r="N1">
        <v>200</v>
      </c>
      <c r="O1" s="41">
        <v>250</v>
      </c>
      <c r="P1" s="41">
        <v>300</v>
      </c>
      <c r="Q1" s="41">
        <v>350</v>
      </c>
      <c r="R1" s="41">
        <v>400</v>
      </c>
      <c r="S1" s="41">
        <v>450</v>
      </c>
      <c r="T1" s="41">
        <v>500</v>
      </c>
      <c r="U1" s="41">
        <v>600</v>
      </c>
      <c r="V1" s="41">
        <v>700</v>
      </c>
      <c r="W1" s="41">
        <v>800</v>
      </c>
      <c r="X1" s="41">
        <v>900</v>
      </c>
      <c r="Y1" s="41">
        <v>1050</v>
      </c>
      <c r="Z1" s="41">
        <v>1200</v>
      </c>
      <c r="AA1" s="41">
        <v>1350</v>
      </c>
      <c r="AB1" s="41">
        <v>1500</v>
      </c>
      <c r="AC1" s="41">
        <v>1700</v>
      </c>
      <c r="AD1" s="41"/>
      <c r="AE1" s="41">
        <v>300</v>
      </c>
      <c r="AF1" s="41"/>
      <c r="AG1" s="41"/>
      <c r="AH1" s="41"/>
      <c r="AI1" s="41">
        <v>350</v>
      </c>
      <c r="AJ1" s="41"/>
      <c r="AK1" s="41"/>
      <c r="AL1" s="41"/>
      <c r="AM1" s="41">
        <v>400</v>
      </c>
      <c r="AN1" s="41"/>
      <c r="AO1" s="41"/>
      <c r="AP1" s="41"/>
      <c r="AQ1" s="41">
        <v>450</v>
      </c>
      <c r="AR1" s="41"/>
      <c r="AS1" s="41"/>
      <c r="AT1" s="41"/>
      <c r="AU1" s="41">
        <v>500</v>
      </c>
      <c r="AV1" s="41"/>
      <c r="AW1" s="41"/>
      <c r="AX1" s="41"/>
      <c r="AY1" s="41">
        <v>600</v>
      </c>
      <c r="AZ1" s="41"/>
      <c r="BA1" s="41"/>
      <c r="BB1" s="41"/>
      <c r="BC1" s="41"/>
      <c r="BD1" s="41"/>
      <c r="BE1" s="41">
        <v>700</v>
      </c>
      <c r="BF1" s="41"/>
      <c r="BG1" s="41"/>
      <c r="BH1" s="41"/>
      <c r="BI1" s="41"/>
      <c r="BJ1" s="41"/>
      <c r="BK1" s="41">
        <v>800</v>
      </c>
      <c r="BL1" s="41"/>
      <c r="BM1" s="41"/>
      <c r="BN1" s="41"/>
      <c r="BO1" s="41"/>
      <c r="BP1" s="41"/>
      <c r="BQ1" s="41">
        <v>900</v>
      </c>
      <c r="BR1" s="41"/>
      <c r="BS1" s="41"/>
      <c r="BT1" s="41"/>
      <c r="BU1" s="41"/>
      <c r="BV1" s="41"/>
      <c r="BW1" s="41">
        <v>1050</v>
      </c>
      <c r="BX1" s="41"/>
      <c r="BY1" s="41"/>
      <c r="BZ1" s="41"/>
      <c r="CA1" s="41"/>
      <c r="CB1" s="41"/>
      <c r="CC1" s="41">
        <v>1200</v>
      </c>
      <c r="CD1" s="41"/>
      <c r="CE1" s="41"/>
      <c r="CF1" s="41"/>
      <c r="CG1" s="41"/>
      <c r="CH1" s="41"/>
      <c r="CI1" s="41">
        <v>1350</v>
      </c>
      <c r="CJ1" s="41"/>
      <c r="CK1" s="41"/>
      <c r="CL1" s="41"/>
      <c r="CM1" s="41"/>
      <c r="CN1" s="41"/>
      <c r="CO1" s="41"/>
      <c r="CP1" s="41">
        <v>1500</v>
      </c>
      <c r="CQ1" s="41"/>
      <c r="CR1" s="41"/>
      <c r="CS1" s="41"/>
      <c r="CT1" s="41">
        <v>1700</v>
      </c>
      <c r="CU1" s="41"/>
      <c r="CV1" s="41"/>
    </row>
    <row r="2" spans="1:106" ht="26.25" customHeight="1">
      <c r="A2" s="153" t="s">
        <v>49</v>
      </c>
      <c r="B2" s="154"/>
      <c r="C2" s="265" t="s">
        <v>249</v>
      </c>
      <c r="D2" s="266"/>
      <c r="E2" s="266"/>
      <c r="F2" s="266"/>
      <c r="G2" s="266"/>
      <c r="H2" s="266"/>
      <c r="I2" s="266"/>
      <c r="J2" s="267"/>
      <c r="K2" s="19">
        <f>K1</f>
        <v>62600</v>
      </c>
      <c r="L2" s="19">
        <f>IF(D18="Mar",K1+K14,IF(D18="Apl",K1,IF(D18="May",K1,IF(D18="Jun",K1,IF(D18="Jul",K1,IF(D18="Aug",K1,IF(D18="Sep",K1,IF(D18="Oct",K1,IF(D18="Nov",K1,IF(D18="Dec",K1,IF(D18="Jan",K1,IF(D18="Feb",K1))))))))))))</f>
        <v>62600</v>
      </c>
      <c r="M2" s="58">
        <f>IF(K2&lt;18600,O3,IF(K2&lt;20400,P3,IF(K2&lt;22400,Q3,IF(K2&lt;24600,R3,IF(K2&lt;27000,S3,IF(K2&lt;29600,T3,IF(K2&lt;32600,U3,IF(K2&lt;36000,V3,IF(K2&lt;39800,W3,IF(K2&lt;46400,X3,IF(K2&lt;51400,Y3,IF(K2&lt;62600,Z3,IF(K2&lt;72500,AA3,IF(K2&lt;83900,AB3,IF(K2&lt;97100,AC3,IF(K2&lt;112100,AD3,IF(K2&lt;128900,AE3,IF(K2&lt;150600,AF3,))))))))))))))))))</f>
        <v>1650</v>
      </c>
      <c r="N2" s="40" t="s">
        <v>110</v>
      </c>
      <c r="O2" s="40">
        <v>9600</v>
      </c>
      <c r="P2" s="40">
        <v>9800</v>
      </c>
      <c r="Q2" s="40">
        <v>10000</v>
      </c>
      <c r="R2" s="40">
        <f>Q2+200</f>
        <v>10200</v>
      </c>
      <c r="S2" s="40">
        <f t="shared" ref="S2:Z2" si="0">R2+200</f>
        <v>10400</v>
      </c>
      <c r="T2" s="40">
        <f t="shared" si="0"/>
        <v>10600</v>
      </c>
      <c r="U2" s="40">
        <f t="shared" si="0"/>
        <v>10800</v>
      </c>
      <c r="V2" s="40">
        <f t="shared" si="0"/>
        <v>11000</v>
      </c>
      <c r="W2" s="40">
        <f>V2+200</f>
        <v>11200</v>
      </c>
      <c r="X2" s="40">
        <f t="shared" si="0"/>
        <v>11400</v>
      </c>
      <c r="Y2" s="40">
        <f t="shared" si="0"/>
        <v>11600</v>
      </c>
      <c r="Z2" s="40">
        <f t="shared" si="0"/>
        <v>11800</v>
      </c>
      <c r="AA2" s="40">
        <f>Z2+200</f>
        <v>12000</v>
      </c>
      <c r="AB2" s="40">
        <f>AA2+250</f>
        <v>12250</v>
      </c>
      <c r="AC2" s="40">
        <f t="shared" ref="AC2:AE2" si="1">AB2+250</f>
        <v>12500</v>
      </c>
      <c r="AD2" s="40">
        <f t="shared" si="1"/>
        <v>12750</v>
      </c>
      <c r="AE2" s="40">
        <f t="shared" si="1"/>
        <v>13000</v>
      </c>
      <c r="AF2" s="40">
        <f>AE2+300</f>
        <v>13300</v>
      </c>
      <c r="AG2" s="40">
        <f t="shared" ref="AG2:AI2" si="2">AF2+300</f>
        <v>13600</v>
      </c>
      <c r="AH2" s="40">
        <f t="shared" si="2"/>
        <v>13900</v>
      </c>
      <c r="AI2" s="40">
        <f t="shared" si="2"/>
        <v>14200</v>
      </c>
      <c r="AJ2" s="40">
        <f>AI2+350</f>
        <v>14550</v>
      </c>
      <c r="AK2" s="43">
        <f t="shared" ref="AK2:AM2" si="3">AJ2+350</f>
        <v>14900</v>
      </c>
      <c r="AL2" s="40">
        <f t="shared" si="3"/>
        <v>15250</v>
      </c>
      <c r="AM2" s="40">
        <f t="shared" si="3"/>
        <v>15600</v>
      </c>
      <c r="AN2" s="40">
        <f>AM2+400</f>
        <v>16000</v>
      </c>
      <c r="AO2" s="40">
        <f t="shared" ref="AO2:AQ2" si="4">AN2+400</f>
        <v>16400</v>
      </c>
      <c r="AP2" s="40">
        <f t="shared" si="4"/>
        <v>16800</v>
      </c>
      <c r="AQ2" s="40">
        <f t="shared" si="4"/>
        <v>17200</v>
      </c>
      <c r="AR2" s="40">
        <f>AQ2+450</f>
        <v>17650</v>
      </c>
      <c r="AS2" s="40">
        <f t="shared" ref="AS2:AU2" si="5">AR2+450</f>
        <v>18100</v>
      </c>
      <c r="AT2" s="40">
        <f t="shared" si="5"/>
        <v>18550</v>
      </c>
      <c r="AU2" s="40">
        <f t="shared" si="5"/>
        <v>19000</v>
      </c>
      <c r="AV2" s="40">
        <f>AU2+500</f>
        <v>19500</v>
      </c>
      <c r="AW2" s="40">
        <f t="shared" ref="AW2:AX2" si="6">AV2+500</f>
        <v>20000</v>
      </c>
      <c r="AX2" s="40">
        <f t="shared" si="6"/>
        <v>20500</v>
      </c>
      <c r="AY2" s="40">
        <f>AX2+500</f>
        <v>21000</v>
      </c>
      <c r="AZ2" s="40">
        <f>AY2+600</f>
        <v>21600</v>
      </c>
      <c r="BA2" s="40">
        <f t="shared" ref="BA2:BE2" si="7">AZ2+600</f>
        <v>22200</v>
      </c>
      <c r="BB2" s="40">
        <f t="shared" si="7"/>
        <v>22800</v>
      </c>
      <c r="BC2" s="40">
        <f t="shared" si="7"/>
        <v>23400</v>
      </c>
      <c r="BD2" s="40">
        <f t="shared" si="7"/>
        <v>24000</v>
      </c>
      <c r="BE2" s="40">
        <f t="shared" si="7"/>
        <v>24600</v>
      </c>
      <c r="BF2" s="40">
        <f>BE2+700</f>
        <v>25300</v>
      </c>
      <c r="BG2" s="40">
        <f t="shared" ref="BG2" si="8">BF2+700</f>
        <v>26000</v>
      </c>
      <c r="BH2" s="40">
        <f>BG2+700</f>
        <v>26700</v>
      </c>
      <c r="BI2" s="40">
        <f t="shared" ref="BI2:BK2" si="9">BH2+700</f>
        <v>27400</v>
      </c>
      <c r="BJ2" s="40">
        <f t="shared" si="9"/>
        <v>28100</v>
      </c>
      <c r="BK2" s="40">
        <f t="shared" si="9"/>
        <v>28800</v>
      </c>
      <c r="BL2" s="40">
        <f>BK2+800</f>
        <v>29600</v>
      </c>
      <c r="BM2" s="40">
        <f t="shared" ref="BM2:BQ2" si="10">BL2+800</f>
        <v>30400</v>
      </c>
      <c r="BN2" s="40">
        <f t="shared" si="10"/>
        <v>31200</v>
      </c>
      <c r="BO2" s="40">
        <f t="shared" si="10"/>
        <v>32000</v>
      </c>
      <c r="BP2" s="40">
        <f t="shared" si="10"/>
        <v>32800</v>
      </c>
      <c r="BQ2" s="40">
        <f t="shared" si="10"/>
        <v>33600</v>
      </c>
      <c r="BR2" s="40">
        <f>BQ2+900</f>
        <v>34500</v>
      </c>
      <c r="BS2" s="40">
        <f>BR2+900</f>
        <v>35400</v>
      </c>
      <c r="BT2" s="40">
        <f>BS2+900</f>
        <v>36300</v>
      </c>
      <c r="BU2" s="40">
        <f t="shared" ref="BU2:BW2" si="11">BT2+900</f>
        <v>37200</v>
      </c>
      <c r="BV2" s="40">
        <f t="shared" si="11"/>
        <v>38100</v>
      </c>
      <c r="BW2" s="40">
        <f t="shared" si="11"/>
        <v>39000</v>
      </c>
      <c r="BX2" s="40">
        <f t="shared" ref="BX2:CC2" si="12">BW2+1050</f>
        <v>40050</v>
      </c>
      <c r="BY2" s="40">
        <f t="shared" si="12"/>
        <v>41100</v>
      </c>
      <c r="BZ2" s="40">
        <f t="shared" si="12"/>
        <v>42150</v>
      </c>
      <c r="CA2" s="40">
        <f t="shared" si="12"/>
        <v>43200</v>
      </c>
      <c r="CB2" s="40">
        <f t="shared" si="12"/>
        <v>44250</v>
      </c>
      <c r="CC2" s="40">
        <f t="shared" si="12"/>
        <v>45300</v>
      </c>
      <c r="CD2" s="40">
        <f>CC2+1200</f>
        <v>46500</v>
      </c>
      <c r="CE2" s="40">
        <f t="shared" ref="CE2:CI2" si="13">CD2+1200</f>
        <v>47700</v>
      </c>
      <c r="CF2" s="40">
        <f t="shared" si="13"/>
        <v>48900</v>
      </c>
      <c r="CG2" s="40">
        <f t="shared" si="13"/>
        <v>50100</v>
      </c>
      <c r="CH2" s="40">
        <f t="shared" si="13"/>
        <v>51300</v>
      </c>
      <c r="CI2" s="40">
        <f t="shared" si="13"/>
        <v>52500</v>
      </c>
      <c r="CJ2" s="40">
        <f>CI2+1350</f>
        <v>53850</v>
      </c>
      <c r="CK2" s="40">
        <f t="shared" ref="CK2:CO2" si="14">CJ2+1350</f>
        <v>55200</v>
      </c>
      <c r="CL2" s="40">
        <f t="shared" si="14"/>
        <v>56550</v>
      </c>
      <c r="CM2" s="40">
        <f t="shared" si="14"/>
        <v>57900</v>
      </c>
      <c r="CN2" s="40">
        <f t="shared" si="14"/>
        <v>59250</v>
      </c>
      <c r="CO2" s="40">
        <f t="shared" si="14"/>
        <v>60600</v>
      </c>
      <c r="CP2" s="41">
        <v>62100</v>
      </c>
      <c r="CQ2" s="41">
        <v>63600</v>
      </c>
      <c r="CR2" s="41">
        <v>66600</v>
      </c>
      <c r="CS2" s="41">
        <v>68100</v>
      </c>
      <c r="CT2" s="41">
        <v>69600</v>
      </c>
      <c r="CU2" s="41">
        <v>71300</v>
      </c>
      <c r="CV2" s="41">
        <v>73000</v>
      </c>
    </row>
    <row r="3" spans="1:106" ht="26.25" customHeight="1">
      <c r="A3" s="153" t="s">
        <v>50</v>
      </c>
      <c r="B3" s="154"/>
      <c r="C3" s="268" t="s">
        <v>250</v>
      </c>
      <c r="D3" s="268"/>
      <c r="E3" s="268"/>
      <c r="F3" s="268"/>
      <c r="G3" s="197"/>
      <c r="H3" s="197"/>
      <c r="I3" s="197"/>
      <c r="J3" s="198"/>
      <c r="K3" s="19">
        <f>K2</f>
        <v>62600</v>
      </c>
      <c r="L3" s="19">
        <f>IF(D18="Mar",K2+L15,IF(D18="Apl",K2+K14,IF(D18="May",K2,IF(D18="Jun",K2,IF(D18="Jul",K2,IF(D18="Aug",K2,IF(D18="Sep",K2,IF(D18="Oct",K2,IF(D18="Nov",K2,IF(D18="Dec",K2,IF(D18="Jan",K2,IF(D18="Feb",K2))))))))))))</f>
        <v>62600</v>
      </c>
      <c r="M3" s="58">
        <f>IF(K3&lt;18600,O3,IF(K3&lt;20400,P3,IF(K3&lt;22400,Q3,IF(K3&lt;24600,R3,IF(K3&lt;27000,S3,IF(K3&lt;29600,T3,IF(K3&lt;32600,U3,IF(K3&lt;36000,V3,IF(K3&lt;39800,W3,IF(K3&lt;46400,X3,IF(K3&lt;51400,Y3,IF(K3&lt;62600,Z3,IF(K3&lt;72500,AA3,IF(K3&lt;83900,AB3,IF(K3&lt;97100,AC3,IF(K3&lt;112100,AD3,IF(K3&lt;128900,AE3,IF(K3&lt;150600,AF3,))))))))))))))))))</f>
        <v>1650</v>
      </c>
      <c r="N3" s="40" t="s">
        <v>111</v>
      </c>
      <c r="O3" s="40">
        <v>400</v>
      </c>
      <c r="P3" s="40">
        <v>450</v>
      </c>
      <c r="Q3" s="40">
        <v>500</v>
      </c>
      <c r="R3" s="40">
        <v>550</v>
      </c>
      <c r="S3" s="40">
        <v>600</v>
      </c>
      <c r="T3" s="40">
        <v>650</v>
      </c>
      <c r="U3" s="40">
        <v>750</v>
      </c>
      <c r="V3" s="40">
        <v>850</v>
      </c>
      <c r="W3" s="40">
        <v>950</v>
      </c>
      <c r="X3" s="40">
        <v>1100</v>
      </c>
      <c r="Y3" s="40">
        <v>1250</v>
      </c>
      <c r="Z3" s="40">
        <v>1450</v>
      </c>
      <c r="AA3" s="40">
        <v>1650</v>
      </c>
      <c r="AB3" s="40">
        <v>1900</v>
      </c>
      <c r="AC3" s="40">
        <v>2200</v>
      </c>
      <c r="AD3" s="40">
        <v>2500</v>
      </c>
      <c r="AE3" s="40">
        <v>2800</v>
      </c>
      <c r="AF3" s="40">
        <v>3100</v>
      </c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39"/>
      <c r="AR3" s="39"/>
      <c r="AS3" s="39"/>
      <c r="AT3" s="39"/>
      <c r="AU3" s="53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</row>
    <row r="4" spans="1:106" ht="26.25" customHeight="1">
      <c r="A4" s="153" t="s">
        <v>152</v>
      </c>
      <c r="B4" s="155"/>
      <c r="C4" s="262" t="s">
        <v>251</v>
      </c>
      <c r="D4" s="262"/>
      <c r="E4" s="199" t="s">
        <v>153</v>
      </c>
      <c r="F4" s="273">
        <v>1260321</v>
      </c>
      <c r="G4" s="273"/>
      <c r="H4" s="199" t="s">
        <v>237</v>
      </c>
      <c r="I4" s="270">
        <v>497378753229</v>
      </c>
      <c r="J4" s="271"/>
      <c r="K4" s="19">
        <f>K3</f>
        <v>62600</v>
      </c>
      <c r="L4" s="19">
        <f>IF(D18="Mar",K3+L15,IF(D18="Apl",K3+L15,IF(D18="May",K3+K14,IF(D18="Jun",K3,IF(D18="Jul",K3,IF(D18="Aug",K3,IF(D18="Sep",K3,IF(D18="Oct",K3,IF(D18="Nov",K3,IF(D18="Dec",K3,IF(D18="Jan",K3,IF(D18="Feb",K3))))))))))))</f>
        <v>62600</v>
      </c>
      <c r="M4" s="58">
        <f>IF(K4&lt;18600,O3,IF(K4&lt;20400,P3,IF(K4&lt;22400,Q3,IF(K4&lt;24600,R3,IF(K4&lt;27000,S3,IF(K4&lt;29600,T3,IF(K4&lt;32600,U3,IF(K4&lt;36000,V3,IF(K4&lt;39800,W3,IF(K4&lt;46400,X3,IF(K4&lt;51400,Y3,IF(K4&lt;62600,Z3,IF(K4&lt;72500,AA3,IF(K4&lt;83900,AB3,IF(K4&lt;97100,AC3,IF(K4&lt;112100,AD3,IF(K4&lt;128900,AE3,IF(K4&lt;150600,AF3,))))))))))))))))))</f>
        <v>1650</v>
      </c>
      <c r="N4" s="40" t="s">
        <v>112</v>
      </c>
      <c r="O4" s="43">
        <v>17000</v>
      </c>
      <c r="P4" s="40">
        <f>O4+400</f>
        <v>17400</v>
      </c>
      <c r="Q4" s="40">
        <f t="shared" ref="Q4:S4" si="15">P4+400</f>
        <v>17800</v>
      </c>
      <c r="R4" s="40">
        <f t="shared" si="15"/>
        <v>18200</v>
      </c>
      <c r="S4" s="43">
        <f t="shared" si="15"/>
        <v>18600</v>
      </c>
      <c r="T4" s="40">
        <f>S4+450</f>
        <v>19050</v>
      </c>
      <c r="U4" s="40">
        <f t="shared" ref="U4:V4" si="16">T4+450</f>
        <v>19500</v>
      </c>
      <c r="V4" s="43">
        <f t="shared" si="16"/>
        <v>19950</v>
      </c>
      <c r="W4" s="40">
        <f>V4+450</f>
        <v>20400</v>
      </c>
      <c r="X4" s="40">
        <f>W4+500</f>
        <v>20900</v>
      </c>
      <c r="Y4" s="43">
        <f t="shared" ref="Y4:AA4" si="17">X4+500</f>
        <v>21400</v>
      </c>
      <c r="Z4" s="40">
        <f t="shared" si="17"/>
        <v>21900</v>
      </c>
      <c r="AA4" s="40">
        <f t="shared" si="17"/>
        <v>22400</v>
      </c>
      <c r="AB4" s="40">
        <f>AA4+550</f>
        <v>22950</v>
      </c>
      <c r="AC4" s="43">
        <f t="shared" ref="AC4:AE4" si="18">AB4+550</f>
        <v>23500</v>
      </c>
      <c r="AD4" s="40">
        <f t="shared" si="18"/>
        <v>24050</v>
      </c>
      <c r="AE4" s="40">
        <f t="shared" si="18"/>
        <v>24600</v>
      </c>
      <c r="AF4" s="40">
        <f>AE4+600</f>
        <v>25200</v>
      </c>
      <c r="AG4" s="43">
        <f t="shared" ref="AG4:AI4" si="19">AF4+600</f>
        <v>25800</v>
      </c>
      <c r="AH4" s="40">
        <f t="shared" si="19"/>
        <v>26400</v>
      </c>
      <c r="AI4" s="40">
        <f t="shared" si="19"/>
        <v>27000</v>
      </c>
      <c r="AJ4" s="43">
        <f>AI4+650</f>
        <v>27650</v>
      </c>
      <c r="AK4" s="40">
        <f t="shared" ref="AK4:AM4" si="20">AJ4+650</f>
        <v>28300</v>
      </c>
      <c r="AL4" s="40">
        <f t="shared" si="20"/>
        <v>28950</v>
      </c>
      <c r="AM4" s="40">
        <f t="shared" si="20"/>
        <v>29600</v>
      </c>
      <c r="AN4" s="43">
        <f>AM4+750</f>
        <v>30350</v>
      </c>
      <c r="AO4" s="40">
        <f t="shared" ref="AO4:AQ4" si="21">AN4+750</f>
        <v>31100</v>
      </c>
      <c r="AP4" s="40">
        <f t="shared" si="21"/>
        <v>31850</v>
      </c>
      <c r="AQ4" s="40">
        <f t="shared" si="21"/>
        <v>32600</v>
      </c>
      <c r="AR4" s="43">
        <f>AQ4+850</f>
        <v>33450</v>
      </c>
      <c r="AS4" s="40">
        <f t="shared" ref="AS4:AU4" si="22">AR4+850</f>
        <v>34300</v>
      </c>
      <c r="AT4" s="40">
        <f t="shared" si="22"/>
        <v>35150</v>
      </c>
      <c r="AU4" s="43">
        <f t="shared" si="22"/>
        <v>36000</v>
      </c>
      <c r="AV4" s="40">
        <f>AU4+950</f>
        <v>36950</v>
      </c>
      <c r="AW4" s="43">
        <f t="shared" ref="AW4:AY4" si="23">AV4+950</f>
        <v>37900</v>
      </c>
      <c r="AX4" s="40">
        <f t="shared" si="23"/>
        <v>38850</v>
      </c>
      <c r="AY4" s="40">
        <f t="shared" si="23"/>
        <v>39800</v>
      </c>
      <c r="AZ4" s="43">
        <f>AY4+1100</f>
        <v>40900</v>
      </c>
      <c r="BA4" s="40">
        <f t="shared" ref="BA4:BE4" si="24">AZ4+1100</f>
        <v>42000</v>
      </c>
      <c r="BB4" s="43">
        <f t="shared" si="24"/>
        <v>43100</v>
      </c>
      <c r="BC4" s="40">
        <f t="shared" si="24"/>
        <v>44200</v>
      </c>
      <c r="BD4" s="40">
        <f t="shared" si="24"/>
        <v>45300</v>
      </c>
      <c r="BE4" s="40">
        <f t="shared" si="24"/>
        <v>46400</v>
      </c>
      <c r="BF4" s="40">
        <f>BE4+1250</f>
        <v>47650</v>
      </c>
      <c r="BG4" s="40">
        <f t="shared" ref="BG4:BK4" si="25">BF4+1250</f>
        <v>48900</v>
      </c>
      <c r="BH4" s="40">
        <f t="shared" si="25"/>
        <v>50150</v>
      </c>
      <c r="BI4" s="40">
        <f t="shared" si="25"/>
        <v>51400</v>
      </c>
      <c r="BJ4" s="40">
        <f t="shared" si="25"/>
        <v>52650</v>
      </c>
      <c r="BK4" s="40">
        <f t="shared" si="25"/>
        <v>53900</v>
      </c>
      <c r="BL4" s="40">
        <f>BK4+1450</f>
        <v>55350</v>
      </c>
      <c r="BM4" s="40">
        <f t="shared" ref="BM4:BQ4" si="26">BL4+1450</f>
        <v>56800</v>
      </c>
      <c r="BN4" s="40">
        <f t="shared" si="26"/>
        <v>58250</v>
      </c>
      <c r="BO4" s="40">
        <f t="shared" si="26"/>
        <v>59700</v>
      </c>
      <c r="BP4" s="40">
        <f t="shared" si="26"/>
        <v>61150</v>
      </c>
      <c r="BQ4" s="40">
        <f t="shared" si="26"/>
        <v>62600</v>
      </c>
      <c r="BR4" s="40">
        <f>BQ4+1650</f>
        <v>64250</v>
      </c>
      <c r="BS4" s="40">
        <f t="shared" ref="BS4:BW4" si="27">BR4+1650</f>
        <v>65900</v>
      </c>
      <c r="BT4" s="40">
        <f t="shared" si="27"/>
        <v>67550</v>
      </c>
      <c r="BU4" s="40">
        <f t="shared" si="27"/>
        <v>69200</v>
      </c>
      <c r="BV4" s="40">
        <f t="shared" si="27"/>
        <v>70850</v>
      </c>
      <c r="BW4" s="40">
        <f t="shared" si="27"/>
        <v>72500</v>
      </c>
      <c r="BX4" s="40">
        <f>BW4+1900</f>
        <v>74400</v>
      </c>
      <c r="BY4" s="40">
        <f t="shared" ref="BY4:CC4" si="28">BX4+1900</f>
        <v>76300</v>
      </c>
      <c r="BZ4" s="40">
        <f t="shared" si="28"/>
        <v>78200</v>
      </c>
      <c r="CA4" s="40">
        <f t="shared" si="28"/>
        <v>80100</v>
      </c>
      <c r="CB4" s="40">
        <f t="shared" si="28"/>
        <v>82000</v>
      </c>
      <c r="CC4" s="40">
        <f t="shared" si="28"/>
        <v>83900</v>
      </c>
      <c r="CD4" s="40">
        <f>CC4+2200</f>
        <v>86100</v>
      </c>
      <c r="CE4" s="40">
        <f t="shared" ref="CE4:CI4" si="29">CD4+2200</f>
        <v>88300</v>
      </c>
      <c r="CF4" s="40">
        <f t="shared" si="29"/>
        <v>90500</v>
      </c>
      <c r="CG4" s="40">
        <f t="shared" si="29"/>
        <v>92700</v>
      </c>
      <c r="CH4" s="40">
        <f t="shared" si="29"/>
        <v>94900</v>
      </c>
      <c r="CI4" s="40">
        <f t="shared" si="29"/>
        <v>97100</v>
      </c>
      <c r="CJ4" s="40">
        <f>CI4+2500</f>
        <v>99600</v>
      </c>
      <c r="CK4" s="40">
        <f t="shared" ref="CK4:CO4" si="30">CJ4+2500</f>
        <v>102100</v>
      </c>
      <c r="CL4" s="40">
        <f t="shared" si="30"/>
        <v>104600</v>
      </c>
      <c r="CM4" s="40">
        <f t="shared" si="30"/>
        <v>107100</v>
      </c>
      <c r="CN4" s="40">
        <f t="shared" si="30"/>
        <v>109600</v>
      </c>
      <c r="CO4" s="40">
        <f t="shared" si="30"/>
        <v>112100</v>
      </c>
      <c r="CP4" s="40">
        <f>CO4+2800</f>
        <v>114900</v>
      </c>
      <c r="CQ4" s="40">
        <f t="shared" ref="CQ4:CU4" si="31">CP4+2800</f>
        <v>117700</v>
      </c>
      <c r="CR4" s="40">
        <f t="shared" si="31"/>
        <v>120500</v>
      </c>
      <c r="CS4" s="40">
        <f t="shared" si="31"/>
        <v>123300</v>
      </c>
      <c r="CT4" s="40">
        <f t="shared" si="31"/>
        <v>126100</v>
      </c>
      <c r="CU4" s="40">
        <f t="shared" si="31"/>
        <v>128900</v>
      </c>
      <c r="CV4" s="40">
        <f>CU4+3100</f>
        <v>132000</v>
      </c>
      <c r="CW4" s="40">
        <f t="shared" ref="CW4:DB4" si="32">CV4+3100</f>
        <v>135100</v>
      </c>
      <c r="CX4" s="40">
        <f t="shared" si="32"/>
        <v>138200</v>
      </c>
      <c r="CY4" s="40">
        <f t="shared" si="32"/>
        <v>141300</v>
      </c>
      <c r="CZ4" s="40">
        <f t="shared" si="32"/>
        <v>144400</v>
      </c>
      <c r="DA4" s="40">
        <f t="shared" si="32"/>
        <v>147500</v>
      </c>
      <c r="DB4" s="40">
        <f t="shared" si="32"/>
        <v>150600</v>
      </c>
    </row>
    <row r="5" spans="1:106" ht="26.25" customHeight="1">
      <c r="A5" s="153" t="s">
        <v>51</v>
      </c>
      <c r="B5" s="154"/>
      <c r="C5" s="263" t="s">
        <v>252</v>
      </c>
      <c r="D5" s="263"/>
      <c r="E5" s="263"/>
      <c r="F5" s="263"/>
      <c r="G5" s="263"/>
      <c r="H5" s="263"/>
      <c r="I5" s="263"/>
      <c r="J5" s="264"/>
      <c r="K5" s="19">
        <f>IF(C14="Jan",C11,IF(C14="Jul",C11+C15))</f>
        <v>62600</v>
      </c>
      <c r="L5" s="19">
        <f>IF(D18="Mar",K4+L15,IF(D18="Apl",K4+L15,IF(D18="May",K4+L15,IF(D18="Jun",K4+K14,IF(D18="Jul",K4,IF(D18="Aug",K4,IF(D18="Sep",K4,IF(D18="Oct",K4,IF(D18="Nov",K4,IF(D18="Dec",K4,IF(D18="Jan",K4,IF(D18="Feb",K4))))))))))))</f>
        <v>62600</v>
      </c>
      <c r="M5" s="58">
        <f>IF(K5&lt;18600,O3,IF(K5&lt;20400,P3,IF(K5&lt;22400,Q3,IF(K5&lt;24600,R3,IF(K5&lt;27000,S3,IF(K5&lt;29600,T3,IF(K5&lt;32600,U3,IF(K5&lt;36000,V3,IF(K5&lt;39800,W3,IF(K5&lt;46400,X3,IF(K5&lt;51400,Y3,IF(K5&lt;62600,Z3,IF(K5&lt;72500,AA3,IF(K5&lt;83900,AB3,IF(K5&lt;97100,AC3,IF(K5&lt;112100,AD3,IF(K5&lt;128900,AE3,IF(K5&lt;150600,AF3,))))))))))))))))))</f>
        <v>1650</v>
      </c>
      <c r="N5" s="40" t="s">
        <v>113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</row>
    <row r="6" spans="1:106" ht="26.25" customHeight="1">
      <c r="A6" s="153" t="s">
        <v>133</v>
      </c>
      <c r="B6" s="154"/>
      <c r="C6" s="263" t="s">
        <v>253</v>
      </c>
      <c r="D6" s="263"/>
      <c r="E6" s="263"/>
      <c r="F6" s="263"/>
      <c r="G6" s="263"/>
      <c r="H6" s="263"/>
      <c r="I6" s="263"/>
      <c r="J6" s="264"/>
      <c r="K6" s="19">
        <f>K5</f>
        <v>62600</v>
      </c>
      <c r="L6" s="19">
        <f>IF(D18="Mar",K5+L15,IF(D18="Apl",K5+L15,IF(D18="May",K5+L15,IF(D18="Jun",K5+L15,IF(D18="Jul",K5+K14,IF(D18="Aug",K5,IF(D18="Sep",K5,IF(D18="Oct",K5,IF(D18="Nov",K5,IF(D18="Dec",K5,IF(D18="Jan",K5,IF(D18="Feb",K5))))))))))))</f>
        <v>62600</v>
      </c>
      <c r="M6" s="58">
        <f>IF(K6&lt;18600,O3,IF(K6&lt;20400,P3,IF(K6&lt;22400,Q3,IF(K6&lt;24600,R3,IF(K6&lt;27000,S3,IF(K6&lt;29600,T3,IF(K6&lt;32600,U3,IF(K6&lt;36000,V3,IF(K6&lt;39800,W3,IF(K6&lt;46400,X3,IF(K6&lt;51400,Y3,IF(K6&lt;62600,Z3,IF(K6&lt;72500,AA3,IF(K6&lt;83900,AB3,IF(K6&lt;97100,AC3,IF(K6&lt;112100,AD3,IF(K6&lt;128900,AE3,IF(K6&lt;150600,AF3,))))))))))))))))))</f>
        <v>1650</v>
      </c>
      <c r="N6" s="40" t="s">
        <v>149</v>
      </c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</row>
    <row r="7" spans="1:106" ht="26.25" customHeight="1">
      <c r="A7" s="153" t="s">
        <v>52</v>
      </c>
      <c r="B7" s="154"/>
      <c r="C7" s="263" t="s">
        <v>254</v>
      </c>
      <c r="D7" s="263"/>
      <c r="E7" s="263"/>
      <c r="F7" s="263"/>
      <c r="G7" s="200"/>
      <c r="H7" s="200"/>
      <c r="I7" s="200"/>
      <c r="J7" s="200"/>
      <c r="K7" s="36">
        <f>K6</f>
        <v>62600</v>
      </c>
      <c r="L7" s="19">
        <f>IF(D18="Mar",K6+L15,IF(D18="Apl",K6+L15,IF(D18="May",K6+L15,IF(D18="Jun",K6+L15,IF(D18="Jul",K6+L15,IF(D18="Aug",K6+K14,IF(D18="Sep",K6,IF(D18="Oct",K6,IF(D18="Nov",K6,IF(D18="Dec",K6,IF(D18="Jan",K6,IF(D18="Feb",K6))))))))))))</f>
        <v>62600</v>
      </c>
      <c r="M7" s="58">
        <f>IF(K7&lt;18600,O3,IF(K7&lt;20400,P3,IF(K7&lt;22400,Q3,IF(K7&lt;24600,R3,IF(K7&lt;27000,S3,IF(K7&lt;29600,T3,IF(K7&lt;32600,U3,IF(K7&lt;36000,V3,IF(K7&lt;39800,W3,IF(K7&lt;46400,X3,IF(K7&lt;51400,Y3,IF(K7&lt;62600,Z3,IF(K7&lt;72500,AA3,IF(K7&lt;83900,AB3,IF(K7&lt;97100,AC3,IF(K7&lt;112100,AD3,IF(K7&lt;128900,AE3,IF(K7&lt;150600,AF3,))))))))))))))))))</f>
        <v>1650</v>
      </c>
      <c r="N7" s="40" t="s">
        <v>114</v>
      </c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</row>
    <row r="8" spans="1:106" ht="26.25" customHeight="1">
      <c r="A8" s="153" t="s">
        <v>53</v>
      </c>
      <c r="B8" s="154"/>
      <c r="C8" s="263" t="s">
        <v>255</v>
      </c>
      <c r="D8" s="263"/>
      <c r="E8" s="263"/>
      <c r="F8" s="263"/>
      <c r="G8" s="200"/>
      <c r="H8" s="200"/>
      <c r="I8" s="200"/>
      <c r="J8" s="200"/>
      <c r="K8" s="36">
        <f>K7</f>
        <v>62600</v>
      </c>
      <c r="L8" s="19">
        <f>IF(D18="Mar",K7+L15,IF(D18="Apl",K7+L15,IF(D18="May",K7+L15,IF(D18="Jun",K7+L15,IF(D18="Jul",K7+L15,IF(D18="Aug",K7+L15,IF(D18="Sep",K8+K14,IF(D18="Oct",K7,IF(D18="Nov",K7,IF(D18="Dec",K7,IF(D18="Jan",K7,IF(D18="Feb",K7))))))))))))</f>
        <v>62600</v>
      </c>
      <c r="M8" s="58">
        <f>IF(K8&lt;18600,O3,IF(K8&lt;20400,P3,IF(K8&lt;22400,Q3,IF(K8&lt;24600,R3,IF(K8&lt;27000,S3,IF(K8&lt;29600,T3,IF(K8&lt;32600,U3,IF(K8&lt;36000,V3,IF(K8&lt;39800,W3,IF(K8&lt;46400,X3,IF(K8&lt;51400,Y3,IF(K8&lt;62600,Z3,IF(K8&lt;72500,AA3,IF(K8&lt;83900,AB3,IF(K88&lt;97100,AC3,IF(K8&lt;112100,AD3,IF(K8&lt;128900,AE3,IF(K8&lt;150600,AF3,))))))))))))))))))</f>
        <v>1650</v>
      </c>
      <c r="N8" s="40" t="s">
        <v>115</v>
      </c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</row>
    <row r="9" spans="1:106" ht="26.25" customHeight="1">
      <c r="A9" s="153" t="s">
        <v>54</v>
      </c>
      <c r="B9" s="154"/>
      <c r="C9" s="262"/>
      <c r="D9" s="262"/>
      <c r="E9" s="201"/>
      <c r="F9" s="201"/>
      <c r="G9" s="201"/>
      <c r="H9" s="201"/>
      <c r="I9" s="201"/>
      <c r="J9" s="201"/>
      <c r="K9" s="36">
        <f>K8</f>
        <v>62600</v>
      </c>
      <c r="L9" s="19">
        <f>IF(D18="Mar",K8+L15,IF(D18="Apl",K8+L15,IF(D18="May",K8+L15,IF(D18="Jun",K8+L15,IF(D18="Jul",K8+L15,IF(D18="Aug",K8+L15,IF(D18="Sep",K8+L15,IF(D18="Oct",K8+K14,IF(D18="Nov",K8,IF(D18="Dec",K8,IF(D18="Jan",K8,IF(D18="Feb",K8))))))))))))</f>
        <v>62600</v>
      </c>
      <c r="M9" s="58">
        <f>IF(K9&lt;18600,O3,IF(K9&lt;20400,P3,IF(K9&lt;22400,Q3,IF(K9&lt;24600,R3,IF(K9&lt;27000,S3,IF(K9&lt;29600,T3,IF(K9&lt;32600,U3,IF(K9&lt;36000,V3,IF(K9&lt;39800,W3,IF(K9&lt;46400,X3,IF(K9&lt;51400,Y3,IF(K9&lt;62600,Z3,IF(K9&lt;72500,AA3,IF(K9&lt;83900,AB3,IF(K9&lt;97100,AC3,IF(K9&lt;112100,AD3,IF(K9&lt;128900,AE3,IF(K9&lt;150600,AF3,))))))))))))))))))</f>
        <v>1650</v>
      </c>
      <c r="N9" s="40" t="s">
        <v>116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</row>
    <row r="10" spans="1:106" ht="26.25" customHeight="1" thickBot="1">
      <c r="A10" s="153" t="s">
        <v>70</v>
      </c>
      <c r="B10" s="154"/>
      <c r="C10" s="269" t="s">
        <v>121</v>
      </c>
      <c r="D10" s="269"/>
      <c r="E10" s="269"/>
      <c r="F10" s="269"/>
      <c r="G10" s="269"/>
      <c r="H10" s="269"/>
      <c r="I10" s="269"/>
      <c r="J10" s="269"/>
      <c r="K10" s="36">
        <f>K9</f>
        <v>62600</v>
      </c>
      <c r="L10" s="19">
        <f>IF(D18="Mar",K9+L15,IF(D18="Apl",K9+L15,IF(D18="May",K9+L15,IF(D18="Jun",K9+L15,IF(D18="Jul",K9+L15,IF(D18="Aug",K9+L15,IF(D18="Sep",K9+L15,IF(D18="Oct",K9+L15,IF(D18="Nov",K9+K14,IF(D18="Dec",K9,IF(D18="Jan",K9,IF(D18="Feb",K9))))))))))))</f>
        <v>62600</v>
      </c>
      <c r="M10" s="58">
        <f>IF(K10&lt;18600,O3,IF(K10&lt;20400,P3,IF(K10&lt;22400,Q3,IF(K10&lt;24600,R3,IF(K10&lt;27000,S3,IF(K10&lt;29600,T3,IF(K10&lt;32600,U3,IF(K10&lt;36000,V3,IF(K10&lt;39800,W3,IF(K10&lt;46400,X3,IF(K10&lt;51400,Y3,IF(K10&lt;62600,Z3,IF(K10&lt;72500,AA3,IF(K10&lt;83900,AB3,IF(K10&lt;97100,AC3,IF(K10&lt;112100,AD3,IF(K10&lt;128900,AE3,IF(K10&lt;150600,AF3,))))))))))))))))))</f>
        <v>1650</v>
      </c>
      <c r="N10" s="40" t="s">
        <v>117</v>
      </c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</row>
    <row r="11" spans="1:106" ht="26.25" customHeight="1" thickBot="1">
      <c r="A11" s="153" t="s">
        <v>86</v>
      </c>
      <c r="B11" s="154"/>
      <c r="C11" s="202">
        <v>62600</v>
      </c>
      <c r="D11" s="203"/>
      <c r="E11" s="204" t="s">
        <v>66</v>
      </c>
      <c r="F11" s="204" t="s">
        <v>8</v>
      </c>
      <c r="G11" s="204" t="s">
        <v>9</v>
      </c>
      <c r="H11" s="204" t="s">
        <v>10</v>
      </c>
      <c r="I11" s="204" t="s">
        <v>84</v>
      </c>
      <c r="J11" s="205" t="s">
        <v>4</v>
      </c>
      <c r="K11" s="36">
        <f>IF(C14="Jan",C11+C15,IF(C14="Jul",K10))</f>
        <v>64250</v>
      </c>
      <c r="L11" s="19">
        <f>IF(D18="Mar",K10+L15,IF(D18="Apl",K10+L15,IF(D18="May",K10+L15,IF(D18="Jun",K10+L15,IF(D18="Jul",K10+L15,IF(D18="Aug",K10+L15,IF(D18="Sep",K10+L15,IF(D18="Oct",K10+L15,IF(D18="Nov",K10+L15,IF(D18="Dec",K10+K14,IF(D18="Jan",K10,IF(D18="Feb",K10))))))))))))</f>
        <v>62600</v>
      </c>
      <c r="M11" s="58">
        <f>IF(K11&lt;18600,O3,IF(K11&lt;20400,P3,IF(K11&lt;22400,Q3,IF(K11&lt;24600,R3,IF(K11&lt;27000,S3,IF(K11&lt;29600,T3,IF(K11&lt;32600,U3,IF(K11&lt;36000,V3,IF(K11&lt;39800,W3,IF(K11&lt;46400,X3,IF(K11&lt;51400,Y3,IF(K11&lt;62600,Z3,IF(K11&lt;72500,AA3,IF(K11&lt;83900,AB3,IF(K11&lt;97100,AC3,IF(K11&lt;112100,AD3,IF(K11&lt;128900,AE3,IF(K11&lt;150600,AF3,))))))))))))))))))</f>
        <v>1650</v>
      </c>
      <c r="N11" s="40" t="s">
        <v>118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</row>
    <row r="12" spans="1:106" ht="26.25" customHeight="1" thickBot="1">
      <c r="A12" s="153" t="s">
        <v>205</v>
      </c>
      <c r="B12" s="154"/>
      <c r="C12" s="202" t="s">
        <v>47</v>
      </c>
      <c r="D12" s="203"/>
      <c r="E12" s="206" t="s">
        <v>55</v>
      </c>
      <c r="F12" s="207">
        <v>2000</v>
      </c>
      <c r="G12" s="207">
        <v>2000</v>
      </c>
      <c r="H12" s="207">
        <v>1272</v>
      </c>
      <c r="I12" s="207">
        <v>0</v>
      </c>
      <c r="J12" s="208" t="s">
        <v>256</v>
      </c>
      <c r="K12" s="36">
        <f>K11</f>
        <v>64250</v>
      </c>
      <c r="L12" s="19">
        <f>IF(D18="Mar",K11+L15,IF(D18="Apl",K11+L15,IF(D18="May",K11+L15,IF(D18="Jun",K11+L15,IF(D18="Jul",K11+L15,IF(D18="Aug",K11+L15,IF(D18="Sep",K11+L15,IF(D18="Oct",K11+L15,IF(D18="Nov",K11+L15,IF(D18="Dec",K11+L15,IF(D18="Jan",K11+K14,IF(D18="Feb",K11))))))))))))</f>
        <v>64250</v>
      </c>
      <c r="M12" s="58">
        <f>IF(K12&lt;18600,O3,IF(K12&lt;20400,P3,IF(K12&lt;22400,Q3,IF(K12&lt;24600,R3,IF(K12&lt;27000,S3,IF(K12&lt;29600,T3,IF(K12&lt;32600,U3,IF(K12&lt;36000,V3,IF(K12&lt;39800,W3,IF(K12&lt;46400,X3,IF(K12&lt;51400,Y3,IF(K12&lt;62600,Z3,IF(K12&lt;72500,AA3,IF(K12&lt;83900,AB3,IF(K12&lt;97100,AC3,IF(K12&lt;112100,AD3,IF(K12&lt;128900,AE3,IF(K12&lt;150600,AF3,))))))))))))))))))</f>
        <v>1650</v>
      </c>
      <c r="N12" s="40" t="s">
        <v>119</v>
      </c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</row>
    <row r="13" spans="1:106" ht="26.25" customHeight="1" thickBot="1">
      <c r="A13" s="153" t="s">
        <v>202</v>
      </c>
      <c r="B13" s="154"/>
      <c r="C13" s="202" t="s">
        <v>246</v>
      </c>
      <c r="D13" s="209"/>
      <c r="E13" s="206" t="s">
        <v>58</v>
      </c>
      <c r="F13" s="207">
        <v>2000</v>
      </c>
      <c r="G13" s="207">
        <v>2000</v>
      </c>
      <c r="H13" s="207">
        <v>1272</v>
      </c>
      <c r="I13" s="207">
        <v>0</v>
      </c>
      <c r="J13" s="208" t="s">
        <v>256</v>
      </c>
      <c r="K13" s="36">
        <f>IF(C14="Mar",C11,IF(C14="Mar",C11+C15,IF(C14="Apl",C11+C15,IF(C14="May",C11+C15,IF(C14="Jun",C11+C15,IF(C14="Jul",C11+C15,IF(C14="Aug",C11+C15,IF(C14="Sep",C11+C15,IF(C14="Oct",C11+C15,IF(C14="Nov",C11+C15,IF(C14="Dec",C11+C15,IF(C14="Jan",C11+C15,IF(C14="Feb",C11+C15)))))))))))))</f>
        <v>64250</v>
      </c>
      <c r="L13" s="19">
        <f>IF(D18="Mar",K12+L15,IF(D18="Apl",K12+L15,IF(D18="May",K12+L15,IF(D18="Jun",K12+L15,IF(D18="Jul",K12+L15,IF(D18="Aug",K12+L15,IF(D18="Sep",K12+L15,IF(D18="Oct",K12+L15,IF(D18="Nov",K12+L15,IF(D18="Dec",K12+L15,IF(D18="Jan",K12+L15,IF(D18="Feb",K12+K14))))))))))))</f>
        <v>64250</v>
      </c>
      <c r="M13" s="58">
        <f>IF(K13&lt;18600,O3,IF(K13&lt;20400,P3,IF(K13&lt;22400,Q3,IF(K13&lt;24600,R3,IF(K13&lt;27000,S3,IF(K13&lt;29600,T3,IF(K13&lt;32600,U3,IF(K13&lt;36000,V3,IF(K13&lt;39800,W3,IF(K13&lt;46400,X3,IF(K13&lt;51400,Y3,IF(K13&lt;62600,Z3,IF(K13&lt;72500,AA3,IF(K13&lt;83900,AB3,IF(K13&lt;97100,AC3,IF(K13&lt;112100,AD3,IF(K13&lt;128900,AE3,IF(K13&lt;150600,AF3,))))))))))))))))))</f>
        <v>1650</v>
      </c>
      <c r="N13" s="40" t="s">
        <v>120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</row>
    <row r="14" spans="1:106" ht="26.25" customHeight="1" thickBot="1">
      <c r="A14" s="153" t="s">
        <v>137</v>
      </c>
      <c r="B14" s="154"/>
      <c r="C14" s="210" t="s">
        <v>57</v>
      </c>
      <c r="D14" s="203"/>
      <c r="E14" s="206" t="s">
        <v>60</v>
      </c>
      <c r="F14" s="207">
        <v>2000</v>
      </c>
      <c r="G14" s="207">
        <v>2000</v>
      </c>
      <c r="H14" s="207">
        <v>1272</v>
      </c>
      <c r="I14" s="207">
        <v>0</v>
      </c>
      <c r="J14" s="208" t="s">
        <v>256</v>
      </c>
      <c r="K14" s="37">
        <f>ROUND(L15/30*(30-C18+1),0)</f>
        <v>0</v>
      </c>
      <c r="L14" s="67">
        <f>IF(D18="Mar",K2+K14,IF(D18="Apl",K2+K14,IF(D18="May",K4+K14,IF(D18="jun",K5+K14,IF(D18="Jul",K6+K14,IF(D18="Aug",K7+K14,IF(D18="Sep",K8+K14,IF(D18="Oct",K9+K14,IF(D18="Nov",K10+K14,IF(D18="Dec",K11+K14,IF(D18="Jan",K12+K14,IF(D18="Feb",K13+K14))))))))))))</f>
        <v>64250</v>
      </c>
      <c r="M14" s="78"/>
      <c r="N14" s="40" t="s">
        <v>121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</row>
    <row r="15" spans="1:106" ht="26.25" customHeight="1" thickBot="1">
      <c r="A15" s="153" t="s">
        <v>134</v>
      </c>
      <c r="B15" s="154"/>
      <c r="C15" s="211">
        <f>IF(C11&lt;18600,O3,IF(C11&lt;20400,P3,IF(C11&lt;22400,Q3,IF(C11&lt;24600,R3,IF(C11&lt;27000,S3,IF(C11&lt;29600,T3,IF(C11&lt;32600,U3,IF(C11&lt;36000,V3,IF(C11&lt;39800,W3,IF(C11&lt;46400,X3,IF(C11&lt;53900,Y3,IF(C11&lt;62600,Z3,IF(C11&lt;72500,AA3,IF(C11&lt;83900,AB3,IF(C11&lt;97100,AC3,IF(C11&lt;112100,AD3,IF(C11&lt;128900,AE3,IF(C11&lt;150600,AF3,))))))))))))))))))</f>
        <v>1650</v>
      </c>
      <c r="D15" s="212"/>
      <c r="E15" s="206" t="s">
        <v>59</v>
      </c>
      <c r="F15" s="207">
        <v>2000</v>
      </c>
      <c r="G15" s="207">
        <v>2000</v>
      </c>
      <c r="H15" s="207">
        <v>1272</v>
      </c>
      <c r="I15" s="207">
        <v>0</v>
      </c>
      <c r="J15" s="208" t="s">
        <v>256</v>
      </c>
      <c r="K15" s="89">
        <f>IF(C14="Feb",C11-C15,C11)</f>
        <v>62600</v>
      </c>
      <c r="L15" s="79">
        <f>IF(C17="Yes",L16,IF(C17="No",0))</f>
        <v>0</v>
      </c>
      <c r="M15" s="78"/>
      <c r="N15" s="40" t="s">
        <v>122</v>
      </c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</row>
    <row r="16" spans="1:106" ht="26.25" customHeight="1" thickBot="1">
      <c r="A16" s="153" t="s">
        <v>148</v>
      </c>
      <c r="B16" s="154"/>
      <c r="C16" s="210">
        <v>2700</v>
      </c>
      <c r="D16" s="199"/>
      <c r="E16" s="213" t="s">
        <v>63</v>
      </c>
      <c r="F16" s="207">
        <v>2000</v>
      </c>
      <c r="G16" s="207">
        <v>2000</v>
      </c>
      <c r="H16" s="207">
        <v>1272</v>
      </c>
      <c r="I16" s="207">
        <v>0</v>
      </c>
      <c r="J16" s="208" t="s">
        <v>256</v>
      </c>
      <c r="K16" s="179">
        <f>IF(C14="Mar",C11-C15,C11)</f>
        <v>62600</v>
      </c>
      <c r="L16" s="62">
        <f>IF(D18="Mar",M2,IF(D18="Apl",M3,IF(D18="May",M4,IF(D18="jun",M5,IF(D18="Jul",M6,IF(D18="Aug",M7,IF(D18="Sep",M8,IF(D18="Oct",M9,IF(D18="Nov",M10,IF(D18="Dec",M11,IF(D18="Jan",M12,IF(D18="Feb",M13))))))))))))</f>
        <v>1650</v>
      </c>
      <c r="N16" s="40" t="s">
        <v>123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</row>
    <row r="17" spans="1:93" ht="26.25" customHeight="1" thickBot="1">
      <c r="A17" s="153" t="s">
        <v>190</v>
      </c>
      <c r="B17" s="154"/>
      <c r="C17" s="214" t="s">
        <v>47</v>
      </c>
      <c r="D17" s="203"/>
      <c r="E17" s="213" t="s">
        <v>62</v>
      </c>
      <c r="F17" s="207">
        <v>2000</v>
      </c>
      <c r="G17" s="207">
        <v>2000</v>
      </c>
      <c r="H17" s="207">
        <v>1272</v>
      </c>
      <c r="I17" s="207">
        <v>0</v>
      </c>
      <c r="J17" s="208" t="s">
        <v>256</v>
      </c>
      <c r="K17" s="90" t="s">
        <v>150</v>
      </c>
      <c r="L17" s="90" t="str">
        <f>IF(C10=N2,"17000",IF(C10=N3,"18600",IF(C10=N4,"19950",IF(C10=N5,"21400",IF(C10=N6,"23500",IF(C10=N7,"25800",IF(C10=N8,"27650",IF(C10=N9,"30350",IF(C10=N10,"33450",IF(C10=N11,"36000",IF(C10=N12,"37900",IF(C10=N13,"40900",IF(C10=N14,"43100",IF(C10=N15,"45300",IF(C10=N16,"48900",IF(C10=N18,"56800",IF(C10=N19,"61150",IF(C10=N20,"67750",IF(C10=N21,"70850",IF(C10=N22,"74400",IF(C10=N23,"82000",IF(C10=N24,"90500",IF(C10=N25,"97100",IF(C10=N26,"104600"))))))))))))))))))))))))</f>
        <v>43100</v>
      </c>
      <c r="N17" s="40" t="s">
        <v>234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</row>
    <row r="18" spans="1:93" ht="26.25" customHeight="1" thickBot="1">
      <c r="A18" s="153" t="s">
        <v>135</v>
      </c>
      <c r="B18" s="154"/>
      <c r="C18" s="215">
        <v>20</v>
      </c>
      <c r="D18" s="210" t="s">
        <v>56</v>
      </c>
      <c r="E18" s="213" t="s">
        <v>61</v>
      </c>
      <c r="F18" s="207">
        <v>2000</v>
      </c>
      <c r="G18" s="207">
        <v>2000</v>
      </c>
      <c r="H18" s="207">
        <v>1272</v>
      </c>
      <c r="I18" s="207">
        <v>0</v>
      </c>
      <c r="J18" s="208" t="s">
        <v>256</v>
      </c>
      <c r="K18">
        <f>IF(C14="Mar",C11+C16,IF(C14="Apl",C11,IF(C14="May",C11,IF(C14="Jun",C11,IF(C14="Jul",C11,IF(C14="Aug",C11,IF(C14="Sep",C11,IF(C14="Oct",C11,IF(C14="Nov",C11,IF(C14="Dec",C11,IF(C14="Jan",C11,IF(C14="Feb",C11))))))))))))</f>
        <v>62600</v>
      </c>
      <c r="L18" s="91">
        <v>0</v>
      </c>
      <c r="M18" s="78"/>
      <c r="N18" s="40" t="s">
        <v>124</v>
      </c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</row>
    <row r="19" spans="1:93" ht="24" customHeight="1" thickBot="1">
      <c r="A19" s="156" t="s">
        <v>136</v>
      </c>
      <c r="B19" s="154"/>
      <c r="C19" s="210" t="s">
        <v>47</v>
      </c>
      <c r="D19" s="216"/>
      <c r="E19" s="213" t="s">
        <v>64</v>
      </c>
      <c r="F19" s="207">
        <v>2000</v>
      </c>
      <c r="G19" s="207">
        <v>2000</v>
      </c>
      <c r="H19" s="207">
        <v>1272</v>
      </c>
      <c r="I19" s="207">
        <v>0</v>
      </c>
      <c r="J19" s="208" t="s">
        <v>256</v>
      </c>
      <c r="K19">
        <f>IF(C14="Mar",C11+C16,IF(C14="Apl",C11,IF(C14="May",C11,IF(C14="Jun",C11,IF(C14="Jul",C11,IF(C14="Aug",C11,IF(C14="Sep",C11,IF(C14="Oct",C11,IF(C14="Nov",C11,IF(C14="Dec",C11,IF(C14="Jan",C11,IF(C14="Feb",C11))))))))))))</f>
        <v>62600</v>
      </c>
      <c r="L19">
        <v>650</v>
      </c>
      <c r="M19" s="88"/>
      <c r="N19" s="40" t="s">
        <v>125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</row>
    <row r="20" spans="1:93" ht="22.5" customHeight="1" thickBot="1">
      <c r="A20" s="156" t="s">
        <v>78</v>
      </c>
      <c r="B20" s="154"/>
      <c r="C20" s="199"/>
      <c r="D20" s="216"/>
      <c r="E20" s="213" t="s">
        <v>151</v>
      </c>
      <c r="F20" s="207">
        <v>2000</v>
      </c>
      <c r="G20" s="207">
        <v>2000</v>
      </c>
      <c r="H20" s="207">
        <v>1272</v>
      </c>
      <c r="I20" s="207">
        <v>0</v>
      </c>
      <c r="J20" s="208" t="s">
        <v>256</v>
      </c>
      <c r="K20">
        <f>IF(C14="Mar",C11+C16,IF(C14="Apl",C11+C16,IF(C14="May",C11+C16,IF(C14="Jun",C11,IF(C14="Jul",C11,IF(C14="Aug",C11,IF(C14="Sep",C11,IF(C14="Oct",C11,IF(C14="Nov",C11,IF(C14="Dec",C11,IF(C14="Jan",C11,IF(C14="Feb",C11))))))))))))</f>
        <v>62600</v>
      </c>
      <c r="L20">
        <v>850</v>
      </c>
      <c r="M20" s="88"/>
      <c r="N20" s="40" t="s">
        <v>126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</row>
    <row r="21" spans="1:93" ht="26.25" customHeight="1" thickBot="1">
      <c r="A21" s="153" t="s">
        <v>138</v>
      </c>
      <c r="B21" s="154"/>
      <c r="C21" s="210" t="s">
        <v>47</v>
      </c>
      <c r="D21" s="216"/>
      <c r="E21" s="213" t="s">
        <v>65</v>
      </c>
      <c r="F21" s="207">
        <v>2000</v>
      </c>
      <c r="G21" s="207">
        <v>2000</v>
      </c>
      <c r="H21" s="207">
        <v>1272</v>
      </c>
      <c r="I21" s="207">
        <v>0</v>
      </c>
      <c r="J21" s="208" t="s">
        <v>256</v>
      </c>
      <c r="K21">
        <f>IF(C14="Mar",C11+C16,IF(C14="Apl",C11+C16,IF(C14="May",C11+C16,IF(C14="Jun",C11+C16,IF(C14="Jul",C11,IF(C14="Aug",C11,IF(C14="Sep",C11,IF(C14="Oct",C11,IF(C14="Nov",C11,IF(C14="Dec",C11,IF(C14="Jan",C11,IF(C14="Feb",C11))))))))))))</f>
        <v>62600</v>
      </c>
      <c r="L21">
        <v>950</v>
      </c>
      <c r="M21" s="88"/>
      <c r="N21" s="40" t="s">
        <v>127</v>
      </c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</row>
    <row r="22" spans="1:93" ht="26.25" customHeight="1" thickBot="1">
      <c r="A22" s="153" t="s">
        <v>139</v>
      </c>
      <c r="B22" s="154"/>
      <c r="C22" s="210" t="s">
        <v>103</v>
      </c>
      <c r="D22" s="216"/>
      <c r="E22" s="213" t="s">
        <v>57</v>
      </c>
      <c r="F22" s="207">
        <v>2000</v>
      </c>
      <c r="G22" s="207">
        <v>2000</v>
      </c>
      <c r="H22" s="207">
        <v>1272</v>
      </c>
      <c r="I22" s="207">
        <v>0</v>
      </c>
      <c r="J22" s="208" t="s">
        <v>256</v>
      </c>
      <c r="K22">
        <f>IF(C14="Mar",C11+C16,IF(C14="Apl",C11+C16,IF(C14="May",C11+C16,IF(C14="Jun",C11+C16,IF(C14="Jul",C11+C16,IF(C14="Aug",C11,IF(C14="Sep",C11,IF(C14="Oct",C11,IF(C14="Nov",C11,IF(C14="Dec",C11,IF(C14="Jan",C11,IF(C14="Feb",C11))))))))))))</f>
        <v>62600</v>
      </c>
      <c r="L22">
        <v>1100</v>
      </c>
      <c r="M22" s="88"/>
      <c r="N22" s="40" t="s">
        <v>128</v>
      </c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</row>
    <row r="23" spans="1:93" ht="26.25" customHeight="1" thickBot="1">
      <c r="A23" s="153" t="s">
        <v>140</v>
      </c>
      <c r="B23" s="154"/>
      <c r="C23" s="210" t="s">
        <v>207</v>
      </c>
      <c r="D23" s="216"/>
      <c r="E23" s="213" t="s">
        <v>56</v>
      </c>
      <c r="F23" s="207">
        <v>2000</v>
      </c>
      <c r="G23" s="207">
        <v>2000</v>
      </c>
      <c r="H23" s="207">
        <v>1272</v>
      </c>
      <c r="I23" s="207">
        <v>0</v>
      </c>
      <c r="J23" s="208" t="s">
        <v>256</v>
      </c>
      <c r="K23">
        <f>IF(C14="Mar",C11+C16,IF(C14="Apl",C11+C16,IF(C14="May",C11+C16,IF(C14="Jun",C11+C16,IF(C14="Jul",C11+C16,IF(C14="Aug",C11+C16,IF(C14="Sep",C11,IF(C14="Oct",C11,IF(C14="Nov",C11,IF(C14="Dec",C11,IF(C14="Jan",C11,IF(C14="Feb",C11))))))))))))</f>
        <v>62600</v>
      </c>
      <c r="L23">
        <v>1250</v>
      </c>
      <c r="M23" s="88"/>
      <c r="N23" s="40" t="s">
        <v>129</v>
      </c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</row>
    <row r="24" spans="1:93" ht="26.25" customHeight="1">
      <c r="A24" s="153" t="s">
        <v>191</v>
      </c>
      <c r="B24" s="154"/>
      <c r="C24" s="210">
        <v>450</v>
      </c>
      <c r="D24" s="216"/>
      <c r="E24" s="217"/>
      <c r="F24" s="218"/>
      <c r="G24" s="218"/>
      <c r="H24" s="218"/>
      <c r="I24" s="218"/>
      <c r="J24" s="209"/>
      <c r="K24">
        <f>IF(C14="Mar",C11+C16,IF(C14="Apl",C11+C16,IF(C14="May",C11+C16,IF(C14="Jun",C11+C16,IF(C14="Jul",C11+C16,IF(C14="Aug",C11+C16,IF(C14="Sep",C11+C16,IF(C14="Oct",C11,IF(C14="Nov",C11,IF(C14="Dec",C11,IF(C14="Jan",C11,IF(C14="Feb",C11))))))))))))</f>
        <v>62600</v>
      </c>
      <c r="L24">
        <v>1400</v>
      </c>
      <c r="M24" s="88"/>
      <c r="N24" s="40" t="s">
        <v>130</v>
      </c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</row>
    <row r="25" spans="1:93" ht="26.25" customHeight="1">
      <c r="A25" s="260" t="s">
        <v>192</v>
      </c>
      <c r="B25" s="154"/>
      <c r="C25" s="261">
        <v>0</v>
      </c>
      <c r="D25" s="216"/>
      <c r="E25" s="217"/>
      <c r="F25" s="218"/>
      <c r="G25" s="218"/>
      <c r="H25" s="218"/>
      <c r="I25" s="218"/>
      <c r="J25" s="209"/>
      <c r="K25">
        <f>IF(C14="Mar",C11+C16,IF(C14="Apl",C11+C16,IF(C14="May",C11+C16,IF(C14="Jun",C11+C16,IF(C14="Jul",C11+C16,IF(C14="Aug",C11+C16,IF(C14="Sep",C11+C16,IF(C14="Oct",C11+C16,IF(C14="Nov",C11,IF(C14="Dec",C11,IF(C14="Jan",C11,IF(C14="Feb",C11))))))))))))</f>
        <v>62600</v>
      </c>
      <c r="L25">
        <v>1450</v>
      </c>
      <c r="M25" s="88"/>
      <c r="N25" s="40" t="s">
        <v>131</v>
      </c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</row>
    <row r="26" spans="1:93" ht="26.25" customHeight="1">
      <c r="A26" s="260"/>
      <c r="B26" s="154"/>
      <c r="C26" s="261"/>
      <c r="D26" s="216"/>
      <c r="E26" s="219"/>
      <c r="F26" s="219"/>
      <c r="G26" s="219"/>
      <c r="H26" s="219"/>
      <c r="I26" s="219"/>
      <c r="J26" s="219"/>
      <c r="K26">
        <f>IF(C14="Mar",C11+C16,IF(C14="Apl",C11+C16,IF(C14="May",C11+C16,IF(C14="Jun",C11+C16,IF(C14="Jul",C11+C16,IF(C14="Aug",C11+C16,IF(C14="Sep",C11+C16,IF(C14="Oct",C11+C16,IF(C14="Nov",C11+C16,IF(C14="Dec",C11,IF(C14="Jan",C11,IF(C14="Feb",C11))))))))))))</f>
        <v>62600</v>
      </c>
      <c r="L26">
        <v>1650</v>
      </c>
      <c r="M26" s="88"/>
      <c r="N26" s="80" t="s">
        <v>132</v>
      </c>
      <c r="O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</row>
    <row r="27" spans="1:93" ht="26.25" customHeight="1">
      <c r="A27" s="156" t="s">
        <v>141</v>
      </c>
      <c r="B27" s="157"/>
      <c r="C27" s="220" t="s">
        <v>47</v>
      </c>
      <c r="D27" s="216"/>
      <c r="E27" s="221"/>
      <c r="F27" s="221"/>
      <c r="G27" s="272"/>
      <c r="H27" s="272"/>
      <c r="I27" s="221"/>
      <c r="J27" s="221"/>
      <c r="K27">
        <f>IF(C14="Mar",C11+C16,IF(C14="Apl",C11+C16,IF(C14="May",C11+C16,IF(C14="Jun",C11+C16,IF(C14="Jul",C11+C16,IF(C14="Aug",C11+C16,IF(C14="Sep",C11+C16,IF(C14="Oct",C11+C16,IF(C14="Nov",C11+C16,IF(C14="Dec",C11+C16,IF(C14="Jan",C11,IF(C14="Feb",C11))))))))))))</f>
        <v>62600</v>
      </c>
      <c r="L27">
        <v>1700</v>
      </c>
      <c r="M27" s="88"/>
      <c r="O27" s="40"/>
      <c r="AO27" s="40"/>
      <c r="AP27" s="40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</row>
    <row r="28" spans="1:93" ht="26.25" customHeight="1">
      <c r="A28" s="153" t="s">
        <v>142</v>
      </c>
      <c r="B28" s="154"/>
      <c r="C28" s="210" t="s">
        <v>47</v>
      </c>
      <c r="D28" s="216"/>
      <c r="E28" s="221"/>
      <c r="F28" s="221"/>
      <c r="G28" s="221"/>
      <c r="H28" s="221"/>
      <c r="I28" s="221"/>
      <c r="J28" s="221"/>
      <c r="K28">
        <f>IF(C14="Mar",C11+C16,IF(C14="Apl",C11+C16,IF(C14="May",C11+C16,IF(C14="Jun",C11+C16,IF(C14="Jul",C11+C16,IF(C14="Aug",C11+C16,IF(C14="Sep",C11+C16,IF(C14="Oct",C11+C16,IF(C14="Nov",C11+C16,IF(C14="Dec",C11+C16,IF(C14="Jan",C11+C16,IF(C14="Feb",C11+C16))))))))))))</f>
        <v>65300</v>
      </c>
      <c r="L28">
        <v>2150</v>
      </c>
      <c r="M28" s="88"/>
      <c r="O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</row>
    <row r="29" spans="1:93" ht="26.25" customHeight="1">
      <c r="A29" s="153" t="s">
        <v>143</v>
      </c>
      <c r="B29" s="154"/>
      <c r="C29" s="210" t="s">
        <v>47</v>
      </c>
      <c r="D29" s="216"/>
      <c r="E29" s="221"/>
      <c r="F29" s="221"/>
      <c r="G29" s="221"/>
      <c r="H29" s="221"/>
      <c r="I29" s="221"/>
      <c r="J29" s="221"/>
      <c r="K29">
        <f>IF(C14="Mar",C11+C16,IF(C14="Apl",C11+C16,IF(C14="May",C11+C16,IF(C14="Jun",C11+C16,IF(C14="Jul",C11+C16,IF(C14="Aug",C11+C16,IF(C14="Sep",C11+C16,IF(C14="Oct",C11+C16,IF(C14="Nov",C11+C16,IF(C14="Dec",C11+C16,IF(C14="Jan",C11+C16,IF(C14="Feb",C11+C16))))))))))))</f>
        <v>65300</v>
      </c>
      <c r="L29">
        <v>2200</v>
      </c>
      <c r="M29" s="88"/>
      <c r="N29" s="87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0"/>
      <c r="AP29" s="40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</row>
    <row r="30" spans="1:93" ht="26.25" customHeight="1">
      <c r="A30" s="153" t="s">
        <v>193</v>
      </c>
      <c r="B30" s="158"/>
      <c r="C30" s="222">
        <v>8250</v>
      </c>
      <c r="D30" s="223"/>
      <c r="E30" s="224"/>
      <c r="F30" s="224"/>
      <c r="G30" s="224"/>
      <c r="H30" s="224"/>
      <c r="I30" s="224"/>
      <c r="J30" s="225"/>
      <c r="L30">
        <v>2500</v>
      </c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</row>
    <row r="31" spans="1:93" ht="26.25" customHeight="1">
      <c r="A31" s="159" t="s">
        <v>194</v>
      </c>
      <c r="B31" s="158"/>
      <c r="C31" s="210" t="s">
        <v>247</v>
      </c>
      <c r="D31" s="223"/>
      <c r="E31" s="224"/>
      <c r="F31" s="224"/>
      <c r="G31" s="224"/>
      <c r="H31" s="224"/>
      <c r="I31" s="224"/>
      <c r="J31" s="224"/>
      <c r="L31">
        <v>2700</v>
      </c>
      <c r="N31" s="44"/>
      <c r="O31" s="42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</row>
    <row r="32" spans="1:93" ht="26.25" customHeight="1">
      <c r="A32" s="159" t="s">
        <v>144</v>
      </c>
      <c r="B32" s="158"/>
      <c r="C32" s="276">
        <v>43759</v>
      </c>
      <c r="D32" s="276"/>
      <c r="E32" s="226"/>
      <c r="F32" s="226"/>
      <c r="G32" s="224"/>
      <c r="H32" s="224"/>
      <c r="I32" s="224"/>
      <c r="J32" s="224"/>
      <c r="L32">
        <v>2800</v>
      </c>
      <c r="N32" s="44"/>
      <c r="O32" s="42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</row>
    <row r="33" spans="1:746" ht="26.25" customHeight="1">
      <c r="A33" s="159" t="s">
        <v>145</v>
      </c>
      <c r="B33" s="158"/>
      <c r="C33" s="270">
        <v>35218478899</v>
      </c>
      <c r="D33" s="270"/>
      <c r="E33" s="270"/>
      <c r="F33" s="224"/>
      <c r="G33" s="224"/>
      <c r="H33" s="224"/>
      <c r="I33" s="224"/>
      <c r="J33" s="224"/>
      <c r="L33">
        <v>2900</v>
      </c>
      <c r="N33" s="44"/>
      <c r="O33" s="42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</row>
    <row r="34" spans="1:746" ht="26.25" customHeight="1">
      <c r="A34" s="159" t="s">
        <v>146</v>
      </c>
      <c r="B34" s="158"/>
      <c r="C34" s="275" t="s">
        <v>248</v>
      </c>
      <c r="D34" s="275"/>
      <c r="E34" s="275"/>
      <c r="F34" s="224"/>
      <c r="G34" s="224"/>
      <c r="H34" s="224"/>
      <c r="I34" s="224"/>
      <c r="J34" s="224"/>
      <c r="L34">
        <v>3100</v>
      </c>
      <c r="N34" s="44"/>
      <c r="O34" s="42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</row>
    <row r="35" spans="1:746" ht="26.25" customHeight="1">
      <c r="A35" s="159" t="s">
        <v>147</v>
      </c>
      <c r="B35" s="158"/>
      <c r="C35" s="274">
        <v>0</v>
      </c>
      <c r="D35" s="274"/>
      <c r="E35" s="227"/>
      <c r="F35" s="228"/>
      <c r="G35" s="228"/>
      <c r="H35" s="228"/>
      <c r="I35" s="228"/>
      <c r="J35" s="228"/>
      <c r="L35">
        <v>3300</v>
      </c>
      <c r="N35" s="44"/>
      <c r="O35" s="42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</row>
    <row r="36" spans="1:746" s="68" customFormat="1" ht="26.25" customHeight="1">
      <c r="A36" s="229" t="s">
        <v>94</v>
      </c>
      <c r="B36" s="230"/>
      <c r="C36" s="230"/>
      <c r="D36" s="230"/>
      <c r="E36" s="231"/>
      <c r="F36" s="231"/>
      <c r="G36" s="231"/>
      <c r="H36" s="231"/>
      <c r="I36" s="231"/>
      <c r="J36" s="232"/>
      <c r="L36">
        <v>3550</v>
      </c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  <c r="IQ36" s="69"/>
      <c r="IR36" s="69"/>
      <c r="IS36" s="69"/>
      <c r="IT36" s="69"/>
      <c r="IU36" s="69"/>
      <c r="IV36" s="69"/>
      <c r="IW36" s="69"/>
      <c r="IX36" s="69"/>
      <c r="IY36" s="69"/>
      <c r="IZ36" s="69"/>
      <c r="JA36" s="69"/>
      <c r="JB36" s="69"/>
      <c r="JC36" s="69"/>
      <c r="JD36" s="69"/>
      <c r="JE36" s="69"/>
      <c r="JF36" s="69"/>
      <c r="JG36" s="69"/>
      <c r="JH36" s="69"/>
      <c r="JI36" s="69"/>
      <c r="JJ36" s="69"/>
      <c r="JK36" s="69"/>
      <c r="JL36" s="69"/>
      <c r="JM36" s="69"/>
      <c r="JN36" s="69"/>
      <c r="JO36" s="69"/>
      <c r="JP36" s="69"/>
      <c r="JQ36" s="69"/>
      <c r="JR36" s="69"/>
      <c r="JS36" s="69"/>
      <c r="JT36" s="69"/>
      <c r="JU36" s="69"/>
      <c r="JV36" s="69"/>
      <c r="JW36" s="69"/>
      <c r="JX36" s="69"/>
      <c r="JY36" s="69"/>
      <c r="JZ36" s="69"/>
      <c r="KA36" s="69"/>
      <c r="KB36" s="69"/>
      <c r="KC36" s="69"/>
      <c r="KD36" s="69"/>
      <c r="KE36" s="69"/>
      <c r="KF36" s="69"/>
      <c r="KG36" s="69"/>
      <c r="KH36" s="69"/>
      <c r="KI36" s="69"/>
      <c r="KJ36" s="69"/>
      <c r="KK36" s="69"/>
      <c r="KL36" s="69"/>
      <c r="KM36" s="69"/>
      <c r="KN36" s="69"/>
      <c r="KO36" s="69"/>
      <c r="KP36" s="69"/>
      <c r="KQ36" s="69"/>
      <c r="KR36" s="69"/>
      <c r="KS36" s="69"/>
      <c r="KT36" s="69"/>
      <c r="KU36" s="69"/>
      <c r="KV36" s="69"/>
      <c r="KW36" s="69"/>
      <c r="KX36" s="69"/>
      <c r="KY36" s="69"/>
      <c r="KZ36" s="69"/>
      <c r="LA36" s="69"/>
      <c r="LB36" s="69"/>
      <c r="LC36" s="69"/>
      <c r="LD36" s="69"/>
      <c r="LE36" s="69"/>
      <c r="LF36" s="69"/>
      <c r="LG36" s="69"/>
      <c r="LH36" s="69"/>
      <c r="LI36" s="69"/>
      <c r="LJ36" s="69"/>
      <c r="LK36" s="69"/>
      <c r="LL36" s="69"/>
      <c r="LM36" s="69"/>
      <c r="LN36" s="69"/>
      <c r="LO36" s="69"/>
      <c r="LP36" s="69"/>
      <c r="LQ36" s="69"/>
      <c r="LR36" s="69"/>
      <c r="LS36" s="69"/>
      <c r="LT36" s="69"/>
      <c r="LU36" s="69"/>
      <c r="LV36" s="69"/>
      <c r="LW36" s="69"/>
      <c r="LX36" s="69"/>
      <c r="LY36" s="69"/>
      <c r="LZ36" s="69"/>
      <c r="MA36" s="69"/>
      <c r="MB36" s="69"/>
      <c r="MC36" s="69"/>
      <c r="MD36" s="69"/>
      <c r="ME36" s="69"/>
      <c r="MF36" s="69"/>
      <c r="MG36" s="69"/>
      <c r="MH36" s="69"/>
      <c r="MI36" s="69"/>
      <c r="MJ36" s="69"/>
      <c r="MK36" s="69"/>
      <c r="ML36" s="69"/>
      <c r="MM36" s="69"/>
      <c r="MN36" s="69"/>
      <c r="MO36" s="69"/>
      <c r="MP36" s="69"/>
      <c r="MQ36" s="69"/>
      <c r="MR36" s="69"/>
      <c r="MS36" s="69"/>
      <c r="MT36" s="69"/>
      <c r="MU36" s="69"/>
      <c r="MV36" s="69"/>
      <c r="MW36" s="69"/>
      <c r="MX36" s="69"/>
      <c r="MY36" s="69"/>
      <c r="MZ36" s="69"/>
      <c r="NA36" s="69"/>
      <c r="NB36" s="69"/>
      <c r="NC36" s="69"/>
      <c r="ND36" s="69"/>
      <c r="NE36" s="69"/>
      <c r="NF36" s="69"/>
      <c r="NG36" s="69"/>
      <c r="NH36" s="69"/>
      <c r="NI36" s="69"/>
      <c r="NJ36" s="69"/>
      <c r="NK36" s="69"/>
      <c r="NL36" s="69"/>
      <c r="NM36" s="69"/>
      <c r="NN36" s="69"/>
      <c r="NO36" s="69"/>
      <c r="NP36" s="69"/>
      <c r="NQ36" s="69"/>
      <c r="NR36" s="69"/>
      <c r="NS36" s="69"/>
      <c r="NT36" s="69"/>
      <c r="NU36" s="69"/>
      <c r="NV36" s="69"/>
      <c r="NW36" s="69"/>
      <c r="NX36" s="69"/>
      <c r="NY36" s="69"/>
      <c r="NZ36" s="69"/>
      <c r="OA36" s="69"/>
      <c r="OB36" s="69"/>
      <c r="OC36" s="69"/>
      <c r="OD36" s="69"/>
      <c r="OE36" s="69"/>
      <c r="OF36" s="69"/>
      <c r="OG36" s="69"/>
      <c r="OH36" s="69"/>
      <c r="OI36" s="69"/>
      <c r="OJ36" s="69"/>
      <c r="OK36" s="69"/>
      <c r="OL36" s="69"/>
      <c r="OM36" s="69"/>
      <c r="ON36" s="69"/>
      <c r="OO36" s="69"/>
      <c r="OP36" s="69"/>
      <c r="OQ36" s="69"/>
      <c r="OR36" s="69"/>
      <c r="OS36" s="69"/>
      <c r="OT36" s="69"/>
      <c r="OU36" s="69"/>
      <c r="OV36" s="69"/>
      <c r="OW36" s="69"/>
      <c r="OX36" s="69"/>
      <c r="OY36" s="69"/>
      <c r="OZ36" s="69"/>
      <c r="PA36" s="69"/>
      <c r="PB36" s="69"/>
      <c r="PC36" s="69"/>
      <c r="PD36" s="69"/>
      <c r="PE36" s="69"/>
      <c r="PF36" s="69"/>
      <c r="PG36" s="69"/>
      <c r="PH36" s="69"/>
      <c r="PI36" s="69"/>
      <c r="PJ36" s="69"/>
      <c r="PK36" s="69"/>
      <c r="PL36" s="69"/>
      <c r="PM36" s="69"/>
      <c r="PN36" s="69"/>
      <c r="PO36" s="69"/>
      <c r="PP36" s="69"/>
      <c r="PQ36" s="69"/>
      <c r="PR36" s="69"/>
      <c r="PS36" s="69"/>
      <c r="PT36" s="69"/>
      <c r="PU36" s="69"/>
      <c r="PV36" s="69"/>
      <c r="PW36" s="69"/>
      <c r="PX36" s="69"/>
      <c r="PY36" s="69"/>
      <c r="PZ36" s="69"/>
      <c r="QA36" s="69"/>
      <c r="QB36" s="69"/>
      <c r="QC36" s="69"/>
      <c r="QD36" s="69"/>
      <c r="QE36" s="69"/>
      <c r="QF36" s="69"/>
      <c r="QG36" s="69"/>
      <c r="QH36" s="69"/>
      <c r="QI36" s="69"/>
      <c r="QJ36" s="69"/>
      <c r="QK36" s="69"/>
      <c r="QL36" s="69"/>
      <c r="QM36" s="69"/>
      <c r="QN36" s="69"/>
      <c r="QO36" s="69"/>
      <c r="QP36" s="69"/>
      <c r="QQ36" s="69"/>
      <c r="QR36" s="69"/>
      <c r="QS36" s="69"/>
      <c r="QT36" s="69"/>
      <c r="QU36" s="69"/>
      <c r="QV36" s="69"/>
      <c r="QW36" s="69"/>
      <c r="QX36" s="69"/>
      <c r="QY36" s="69"/>
      <c r="QZ36" s="69"/>
      <c r="RA36" s="69"/>
      <c r="RB36" s="69"/>
      <c r="RC36" s="69"/>
      <c r="RD36" s="69"/>
      <c r="RE36" s="69"/>
      <c r="RF36" s="69"/>
      <c r="RG36" s="69"/>
      <c r="RH36" s="69"/>
      <c r="RI36" s="69"/>
      <c r="RJ36" s="69"/>
      <c r="RK36" s="69"/>
      <c r="RL36" s="69"/>
      <c r="RM36" s="69"/>
      <c r="RN36" s="69"/>
      <c r="RO36" s="69"/>
      <c r="RP36" s="69"/>
      <c r="RQ36" s="69"/>
      <c r="RR36" s="69"/>
      <c r="RS36" s="69"/>
      <c r="RT36" s="69"/>
      <c r="RU36" s="69"/>
      <c r="RV36" s="69"/>
      <c r="RW36" s="69"/>
      <c r="RX36" s="69"/>
      <c r="RY36" s="69"/>
      <c r="RZ36" s="69"/>
      <c r="SA36" s="69"/>
      <c r="SB36" s="69"/>
      <c r="SC36" s="69"/>
      <c r="SD36" s="69"/>
      <c r="SE36" s="69"/>
      <c r="SF36" s="69"/>
      <c r="SG36" s="69"/>
      <c r="SH36" s="69"/>
      <c r="SI36" s="69"/>
      <c r="SJ36" s="69"/>
      <c r="SK36" s="69"/>
      <c r="SL36" s="69"/>
      <c r="SM36" s="69"/>
      <c r="SN36" s="69"/>
      <c r="SO36" s="69"/>
      <c r="SP36" s="69"/>
      <c r="SQ36" s="69"/>
      <c r="SR36" s="69"/>
      <c r="SS36" s="69"/>
      <c r="ST36" s="69"/>
      <c r="SU36" s="69"/>
      <c r="SV36" s="69"/>
      <c r="SW36" s="69"/>
      <c r="SX36" s="69"/>
      <c r="SY36" s="69"/>
      <c r="SZ36" s="69"/>
      <c r="TA36" s="69"/>
      <c r="TB36" s="69"/>
      <c r="TC36" s="69"/>
      <c r="TD36" s="69"/>
      <c r="TE36" s="69"/>
      <c r="TF36" s="69"/>
      <c r="TG36" s="69"/>
      <c r="TH36" s="69"/>
      <c r="TI36" s="69"/>
      <c r="TJ36" s="69"/>
      <c r="TK36" s="69"/>
      <c r="TL36" s="69"/>
      <c r="TM36" s="69"/>
      <c r="TN36" s="69"/>
      <c r="TO36" s="69"/>
      <c r="TP36" s="69"/>
      <c r="TQ36" s="69"/>
      <c r="TR36" s="69"/>
      <c r="TS36" s="69"/>
      <c r="TT36" s="69"/>
      <c r="TU36" s="69"/>
      <c r="TV36" s="69"/>
      <c r="TW36" s="69"/>
      <c r="TX36" s="69"/>
      <c r="TY36" s="69"/>
      <c r="TZ36" s="69"/>
      <c r="UA36" s="69"/>
      <c r="UB36" s="69"/>
      <c r="UC36" s="69"/>
      <c r="UD36" s="69"/>
      <c r="UE36" s="69"/>
      <c r="UF36" s="69"/>
      <c r="UG36" s="69"/>
      <c r="UH36" s="69"/>
      <c r="UI36" s="69"/>
      <c r="UJ36" s="69"/>
      <c r="UK36" s="69"/>
      <c r="UL36" s="69"/>
      <c r="UM36" s="69"/>
      <c r="UN36" s="69"/>
      <c r="UO36" s="69"/>
      <c r="UP36" s="69"/>
      <c r="UQ36" s="69"/>
      <c r="UR36" s="69"/>
      <c r="US36" s="69"/>
      <c r="UT36" s="69"/>
      <c r="UU36" s="69"/>
      <c r="UV36" s="69"/>
      <c r="UW36" s="69"/>
      <c r="UX36" s="69"/>
      <c r="UY36" s="69"/>
      <c r="UZ36" s="69"/>
      <c r="VA36" s="69"/>
      <c r="VB36" s="69"/>
      <c r="VC36" s="69"/>
      <c r="VD36" s="69"/>
      <c r="VE36" s="69"/>
      <c r="VF36" s="69"/>
      <c r="VG36" s="69"/>
      <c r="VH36" s="69"/>
      <c r="VI36" s="69"/>
      <c r="VJ36" s="69"/>
      <c r="VK36" s="69"/>
      <c r="VL36" s="69"/>
      <c r="VM36" s="69"/>
      <c r="VN36" s="69"/>
      <c r="VO36" s="69"/>
      <c r="VP36" s="69"/>
      <c r="VQ36" s="69"/>
      <c r="VR36" s="69"/>
      <c r="VS36" s="69"/>
      <c r="VT36" s="69"/>
      <c r="VU36" s="69"/>
      <c r="VV36" s="69"/>
      <c r="VW36" s="69"/>
      <c r="VX36" s="69"/>
      <c r="VY36" s="69"/>
      <c r="VZ36" s="69"/>
      <c r="WA36" s="69"/>
      <c r="WB36" s="69"/>
      <c r="WC36" s="69"/>
      <c r="WD36" s="69"/>
      <c r="WE36" s="69"/>
      <c r="WF36" s="69"/>
      <c r="WG36" s="69"/>
      <c r="WH36" s="69"/>
      <c r="WI36" s="69"/>
      <c r="WJ36" s="69"/>
      <c r="WK36" s="69"/>
      <c r="WL36" s="69"/>
      <c r="WM36" s="69"/>
      <c r="WN36" s="69"/>
      <c r="WO36" s="69"/>
      <c r="WP36" s="69"/>
      <c r="WQ36" s="69"/>
      <c r="WR36" s="69"/>
      <c r="WS36" s="69"/>
      <c r="WT36" s="69"/>
      <c r="WU36" s="69"/>
      <c r="WV36" s="69"/>
      <c r="WW36" s="69"/>
      <c r="WX36" s="69"/>
      <c r="WY36" s="69"/>
      <c r="WZ36" s="69"/>
      <c r="XA36" s="69"/>
      <c r="XB36" s="69"/>
      <c r="XC36" s="69"/>
      <c r="XD36" s="69"/>
      <c r="XE36" s="69"/>
      <c r="XF36" s="69"/>
      <c r="XG36" s="69"/>
      <c r="XH36" s="69"/>
      <c r="XI36" s="69"/>
      <c r="XJ36" s="69"/>
      <c r="XK36" s="69"/>
      <c r="XL36" s="69"/>
      <c r="XM36" s="69"/>
      <c r="XN36" s="69"/>
      <c r="XO36" s="69"/>
      <c r="XP36" s="69"/>
      <c r="XQ36" s="69"/>
      <c r="XR36" s="69"/>
      <c r="XS36" s="69"/>
      <c r="XT36" s="69"/>
      <c r="XU36" s="69"/>
      <c r="XV36" s="69"/>
      <c r="XW36" s="69"/>
      <c r="XX36" s="69"/>
      <c r="XY36" s="69"/>
      <c r="XZ36" s="69"/>
      <c r="YA36" s="69"/>
      <c r="YB36" s="69"/>
      <c r="YC36" s="69"/>
      <c r="YD36" s="69"/>
      <c r="YE36" s="69"/>
      <c r="YF36" s="69"/>
      <c r="YG36" s="69"/>
      <c r="YH36" s="69"/>
      <c r="YI36" s="69"/>
      <c r="YJ36" s="69"/>
      <c r="YK36" s="69"/>
      <c r="YL36" s="69"/>
      <c r="YM36" s="69"/>
      <c r="YN36" s="69"/>
      <c r="YO36" s="69"/>
      <c r="YP36" s="69"/>
      <c r="YQ36" s="69"/>
      <c r="YR36" s="69"/>
      <c r="YS36" s="69"/>
      <c r="YT36" s="69"/>
      <c r="YU36" s="69"/>
      <c r="YV36" s="69"/>
      <c r="YW36" s="69"/>
      <c r="YX36" s="69"/>
      <c r="YY36" s="69"/>
      <c r="YZ36" s="69"/>
      <c r="ZA36" s="69"/>
      <c r="ZB36" s="69"/>
      <c r="ZC36" s="69"/>
      <c r="ZD36" s="69"/>
      <c r="ZE36" s="69"/>
      <c r="ZF36" s="69"/>
      <c r="ZG36" s="69"/>
      <c r="ZH36" s="69"/>
      <c r="ZI36" s="69"/>
      <c r="ZJ36" s="69"/>
      <c r="ZK36" s="69"/>
      <c r="ZL36" s="69"/>
      <c r="ZM36" s="69"/>
      <c r="ZN36" s="69"/>
      <c r="ZO36" s="69"/>
      <c r="ZP36" s="69"/>
      <c r="ZQ36" s="69"/>
      <c r="ZR36" s="69"/>
      <c r="ZS36" s="69"/>
      <c r="ZT36" s="69"/>
      <c r="ZU36" s="69"/>
      <c r="ZV36" s="69"/>
      <c r="ZW36" s="69"/>
      <c r="ZX36" s="69"/>
      <c r="ZY36" s="69"/>
      <c r="ZZ36" s="69"/>
      <c r="AAA36" s="69"/>
      <c r="AAB36" s="69"/>
      <c r="AAC36" s="69"/>
      <c r="AAD36" s="69"/>
      <c r="AAE36" s="69"/>
      <c r="AAF36" s="69"/>
      <c r="AAG36" s="69"/>
      <c r="AAH36" s="69"/>
      <c r="AAI36" s="69"/>
      <c r="AAJ36" s="69"/>
      <c r="AAK36" s="69"/>
      <c r="AAL36" s="69"/>
      <c r="AAM36" s="69"/>
      <c r="AAN36" s="69"/>
      <c r="AAO36" s="69"/>
      <c r="AAP36" s="69"/>
      <c r="AAQ36" s="69"/>
      <c r="AAR36" s="69"/>
      <c r="AAS36" s="69"/>
      <c r="AAT36" s="69"/>
      <c r="AAU36" s="69"/>
      <c r="AAV36" s="69"/>
      <c r="AAW36" s="69"/>
      <c r="AAX36" s="69"/>
      <c r="AAY36" s="69"/>
      <c r="AAZ36" s="69"/>
      <c r="ABA36" s="69"/>
      <c r="ABB36" s="69"/>
      <c r="ABC36" s="69"/>
      <c r="ABD36" s="69"/>
      <c r="ABE36" s="69"/>
      <c r="ABF36" s="69"/>
      <c r="ABG36" s="69"/>
      <c r="ABH36" s="69"/>
      <c r="ABI36" s="69"/>
      <c r="ABJ36" s="69"/>
      <c r="ABK36" s="69"/>
      <c r="ABL36" s="69"/>
      <c r="ABM36" s="69"/>
      <c r="ABN36" s="69"/>
      <c r="ABO36" s="69"/>
      <c r="ABP36" s="69"/>
      <c r="ABQ36" s="69"/>
      <c r="ABR36" s="69"/>
    </row>
    <row r="37" spans="1:746" ht="26.25" customHeight="1">
      <c r="A37" s="75"/>
      <c r="B37" s="75"/>
      <c r="C37" s="75"/>
      <c r="D37" s="75"/>
      <c r="E37" s="39"/>
      <c r="F37" s="39"/>
      <c r="G37" s="39"/>
      <c r="H37" s="39"/>
      <c r="I37" s="39"/>
      <c r="J37" s="39"/>
      <c r="L37">
        <v>3750</v>
      </c>
    </row>
    <row r="38" spans="1:746" ht="26.25" customHeight="1">
      <c r="A38" s="75"/>
      <c r="B38" s="75"/>
      <c r="C38" s="76"/>
      <c r="D38" s="75"/>
      <c r="E38" s="39"/>
      <c r="F38" s="39"/>
      <c r="G38" s="39"/>
      <c r="H38" s="39"/>
      <c r="I38" s="39"/>
      <c r="J38" s="39"/>
      <c r="L38">
        <v>3800</v>
      </c>
    </row>
    <row r="39" spans="1:746" ht="26.25" customHeight="1">
      <c r="A39" s="75"/>
      <c r="B39" s="75"/>
      <c r="C39" s="75"/>
      <c r="D39" s="75"/>
      <c r="E39" s="39"/>
      <c r="F39" s="39"/>
      <c r="G39" s="39"/>
      <c r="H39" s="39"/>
      <c r="I39" s="39"/>
      <c r="J39" s="39"/>
      <c r="L39">
        <v>3950</v>
      </c>
    </row>
    <row r="40" spans="1:746" ht="26.25" customHeight="1">
      <c r="A40" s="75"/>
      <c r="B40" s="75"/>
      <c r="C40" s="75"/>
      <c r="D40" s="75"/>
      <c r="E40" s="39"/>
      <c r="F40" s="39"/>
      <c r="G40" s="39"/>
      <c r="H40" s="39"/>
      <c r="I40" s="39"/>
      <c r="J40" s="39"/>
      <c r="L40">
        <v>4150</v>
      </c>
    </row>
    <row r="41" spans="1:746" ht="26.25" customHeight="1">
      <c r="A41" s="75"/>
      <c r="B41" s="75"/>
      <c r="C41" s="75"/>
      <c r="D41" s="75"/>
      <c r="E41" s="39"/>
      <c r="F41" s="39"/>
      <c r="G41" s="39"/>
      <c r="H41" s="39"/>
      <c r="I41" s="39"/>
      <c r="J41" s="39"/>
      <c r="L41">
        <v>4350</v>
      </c>
    </row>
    <row r="42" spans="1:746" ht="26.25" customHeight="1">
      <c r="A42" s="75"/>
      <c r="B42" s="75"/>
      <c r="C42" s="75"/>
      <c r="D42" s="75"/>
      <c r="E42" s="39"/>
      <c r="F42" s="39"/>
      <c r="G42" s="39"/>
      <c r="H42" s="39"/>
      <c r="I42" s="39"/>
      <c r="J42" s="39"/>
      <c r="L42">
        <v>4400</v>
      </c>
    </row>
    <row r="43" spans="1:746" ht="26.25" customHeight="1">
      <c r="A43" s="75"/>
      <c r="B43" s="75"/>
      <c r="C43" s="75"/>
      <c r="D43" s="75"/>
      <c r="E43" s="39"/>
      <c r="F43" s="39"/>
      <c r="G43" s="39"/>
      <c r="H43" s="39"/>
      <c r="I43" s="39"/>
      <c r="J43" s="39"/>
      <c r="L43">
        <v>5000</v>
      </c>
    </row>
    <row r="44" spans="1:746" ht="26.25" customHeight="1">
      <c r="A44" s="75"/>
      <c r="B44" s="75"/>
      <c r="C44" s="75"/>
      <c r="D44" s="75"/>
      <c r="E44" s="39"/>
      <c r="F44" s="39"/>
      <c r="G44" s="39"/>
      <c r="H44" s="39"/>
      <c r="I44" s="39"/>
      <c r="J44" s="39"/>
      <c r="L44">
        <v>5300</v>
      </c>
    </row>
    <row r="45" spans="1:746" ht="26.25" customHeight="1">
      <c r="A45" s="10"/>
      <c r="B45" s="10"/>
      <c r="C45" s="10"/>
      <c r="D45" s="10"/>
      <c r="L45">
        <v>5400</v>
      </c>
    </row>
    <row r="46" spans="1:746" ht="26.25" customHeight="1">
      <c r="A46" s="10"/>
      <c r="B46" s="10"/>
      <c r="C46" s="10"/>
      <c r="D46" s="10"/>
      <c r="L46">
        <v>5450</v>
      </c>
    </row>
    <row r="47" spans="1:746" ht="26.25" customHeight="1">
      <c r="A47" s="10"/>
      <c r="B47" s="10"/>
      <c r="C47" s="10"/>
      <c r="D47" s="10"/>
      <c r="L47">
        <v>5600</v>
      </c>
    </row>
    <row r="48" spans="1:746" ht="26.25" customHeight="1">
      <c r="A48" s="10"/>
      <c r="B48" s="10"/>
      <c r="C48" s="10"/>
      <c r="D48" s="10"/>
      <c r="L48">
        <v>5700</v>
      </c>
    </row>
    <row r="49" spans="1:12" ht="26.25" customHeight="1">
      <c r="A49" s="10"/>
      <c r="B49" s="10"/>
      <c r="C49" s="10"/>
      <c r="D49" s="10"/>
      <c r="L49">
        <v>6000</v>
      </c>
    </row>
    <row r="50" spans="1:12" ht="26.25" customHeight="1">
      <c r="A50" s="10"/>
      <c r="B50" s="10"/>
      <c r="C50" s="10"/>
      <c r="D50" s="10"/>
      <c r="L50">
        <v>6200</v>
      </c>
    </row>
    <row r="51" spans="1:12" ht="26.25" customHeight="1">
      <c r="A51" s="10"/>
      <c r="B51" s="10"/>
      <c r="C51" s="10"/>
      <c r="D51" s="10"/>
      <c r="L51">
        <v>6600</v>
      </c>
    </row>
    <row r="52" spans="1:12" ht="26.25" customHeight="1">
      <c r="A52" s="10"/>
      <c r="B52" s="10"/>
      <c r="C52" s="10"/>
      <c r="D52" s="10"/>
      <c r="L52">
        <v>6850</v>
      </c>
    </row>
    <row r="53" spans="1:12" ht="26.25" customHeight="1">
      <c r="A53" s="10"/>
      <c r="B53" s="10"/>
      <c r="C53" s="10"/>
      <c r="D53" s="10"/>
      <c r="L53">
        <v>6900</v>
      </c>
    </row>
    <row r="54" spans="1:12" ht="26.25" customHeight="1">
      <c r="A54" s="10"/>
      <c r="B54" s="10"/>
      <c r="C54" s="10"/>
      <c r="D54" s="10"/>
      <c r="L54">
        <v>7500</v>
      </c>
    </row>
    <row r="55" spans="1:12" ht="26.25" customHeight="1">
      <c r="A55" s="10"/>
      <c r="B55" s="10"/>
      <c r="C55" s="10"/>
      <c r="D55" s="10"/>
      <c r="L55">
        <v>7800</v>
      </c>
    </row>
    <row r="56" spans="1:12" ht="26.25" customHeight="1">
      <c r="A56" s="10"/>
      <c r="B56" s="10"/>
      <c r="C56" s="10"/>
      <c r="D56" s="10"/>
      <c r="L56">
        <v>7900</v>
      </c>
    </row>
    <row r="57" spans="1:12" ht="26.25" customHeight="1">
      <c r="A57" s="10"/>
      <c r="B57" s="10"/>
      <c r="C57" s="10"/>
      <c r="D57" s="10"/>
      <c r="L57">
        <v>8100</v>
      </c>
    </row>
    <row r="58" spans="1:12" ht="26.25" customHeight="1">
      <c r="A58" s="10"/>
      <c r="B58" s="10"/>
      <c r="C58" s="10"/>
      <c r="D58" s="10"/>
      <c r="L58">
        <v>8400</v>
      </c>
    </row>
    <row r="59" spans="1:12" ht="26.25" customHeight="1">
      <c r="A59" s="10"/>
      <c r="B59" s="10"/>
      <c r="C59" s="10"/>
      <c r="D59" s="10"/>
      <c r="L59">
        <v>8700</v>
      </c>
    </row>
    <row r="60" spans="1:12" ht="26.25" customHeight="1">
      <c r="A60" s="10"/>
      <c r="B60" s="10"/>
      <c r="C60" s="10"/>
      <c r="D60" s="10"/>
      <c r="L60">
        <v>9300</v>
      </c>
    </row>
    <row r="61" spans="1:12" ht="26.25" customHeight="1">
      <c r="A61" s="10"/>
      <c r="B61" s="10"/>
      <c r="C61" s="10"/>
      <c r="D61" s="10"/>
      <c r="L61">
        <v>9400</v>
      </c>
    </row>
    <row r="62" spans="1:12" ht="26.25" customHeight="1">
      <c r="A62" s="10"/>
      <c r="B62" s="10"/>
      <c r="C62" s="10"/>
      <c r="D62" s="10"/>
      <c r="L62">
        <v>10000</v>
      </c>
    </row>
    <row r="63" spans="1:12" ht="26.25" customHeight="1">
      <c r="A63" s="10"/>
      <c r="B63" s="10"/>
      <c r="C63" s="10"/>
      <c r="D63" s="10"/>
      <c r="L63">
        <v>10300</v>
      </c>
    </row>
    <row r="64" spans="1:12" ht="26.25" customHeight="1">
      <c r="A64" s="10"/>
      <c r="B64" s="10"/>
      <c r="C64" s="10"/>
      <c r="D64" s="10"/>
      <c r="L64">
        <v>10600</v>
      </c>
    </row>
    <row r="65" spans="1:12" ht="26.25" customHeight="1">
      <c r="A65" s="10"/>
      <c r="B65" s="10"/>
      <c r="C65" s="10"/>
      <c r="D65" s="10"/>
      <c r="L65">
        <v>10900</v>
      </c>
    </row>
    <row r="66" spans="1:12" ht="26.25" customHeight="1">
      <c r="A66" s="10"/>
      <c r="B66" s="10"/>
      <c r="C66" s="10"/>
      <c r="D66" s="10"/>
      <c r="L66">
        <v>11800</v>
      </c>
    </row>
    <row r="67" spans="1:12" ht="26.25" customHeight="1">
      <c r="A67" s="10"/>
      <c r="B67" s="10"/>
      <c r="C67" s="10"/>
      <c r="D67" s="10"/>
      <c r="L67">
        <v>12400</v>
      </c>
    </row>
    <row r="68" spans="1:12" ht="26.25" customHeight="1">
      <c r="A68" s="10"/>
      <c r="B68" s="10"/>
      <c r="C68" s="10"/>
      <c r="D68" s="10"/>
      <c r="L68">
        <v>15500</v>
      </c>
    </row>
    <row r="69" spans="1:12" ht="26.25" customHeight="1">
      <c r="A69" s="10"/>
      <c r="B69" s="10"/>
      <c r="C69" s="10"/>
      <c r="D69" s="10"/>
    </row>
    <row r="70" spans="1:12" ht="26.25" customHeight="1">
      <c r="A70" s="10"/>
      <c r="B70" s="10"/>
      <c r="C70" s="10"/>
      <c r="D70" s="10"/>
    </row>
    <row r="71" spans="1:12" ht="26.25" customHeight="1">
      <c r="A71" s="10"/>
      <c r="B71" s="10"/>
      <c r="C71" s="10"/>
      <c r="D71" s="10"/>
    </row>
    <row r="72" spans="1:12" ht="26.25" customHeight="1">
      <c r="A72" s="10"/>
      <c r="B72" s="10"/>
      <c r="C72" s="10"/>
      <c r="D72" s="10"/>
    </row>
    <row r="73" spans="1:12" ht="26.25" customHeight="1">
      <c r="A73" s="10"/>
      <c r="B73" s="10"/>
      <c r="C73" s="10"/>
      <c r="D73" s="10"/>
    </row>
    <row r="74" spans="1:12" ht="26.25" customHeight="1">
      <c r="A74" s="10"/>
      <c r="B74" s="10"/>
      <c r="C74" s="10"/>
      <c r="D74" s="10"/>
    </row>
    <row r="75" spans="1:12" ht="26.25" customHeight="1">
      <c r="A75" s="10"/>
      <c r="B75" s="10"/>
      <c r="C75" s="10"/>
      <c r="D75" s="10"/>
    </row>
    <row r="76" spans="1:12" ht="26.25" customHeight="1">
      <c r="A76" s="10"/>
      <c r="B76" s="10"/>
      <c r="C76" s="10"/>
      <c r="D76" s="10"/>
    </row>
    <row r="77" spans="1:12" ht="26.25" customHeight="1">
      <c r="A77" s="10"/>
      <c r="B77" s="10"/>
      <c r="C77" s="10"/>
      <c r="D77" s="10"/>
    </row>
    <row r="78" spans="1:12" ht="26.25" customHeight="1">
      <c r="A78" s="10"/>
      <c r="B78" s="10"/>
      <c r="C78" s="10"/>
      <c r="D78" s="10"/>
    </row>
    <row r="79" spans="1:12" ht="26.25" customHeight="1">
      <c r="A79" s="10"/>
      <c r="B79" s="10"/>
      <c r="C79" s="10"/>
      <c r="D79" s="10"/>
    </row>
    <row r="80" spans="1:12" ht="26.25" customHeight="1">
      <c r="A80" s="10"/>
      <c r="B80" s="10"/>
      <c r="C80" s="10"/>
      <c r="D80" s="10"/>
    </row>
  </sheetData>
  <sheetProtection password="EC00" sheet="1" objects="1" scenarios="1" selectLockedCells="1"/>
  <mergeCells count="19">
    <mergeCell ref="G27:H27"/>
    <mergeCell ref="F4:G4"/>
    <mergeCell ref="C35:D35"/>
    <mergeCell ref="C34:E34"/>
    <mergeCell ref="C33:E33"/>
    <mergeCell ref="C32:D32"/>
    <mergeCell ref="A1:J1"/>
    <mergeCell ref="A25:A26"/>
    <mergeCell ref="C25:C26"/>
    <mergeCell ref="C9:D9"/>
    <mergeCell ref="C4:D4"/>
    <mergeCell ref="C5:J5"/>
    <mergeCell ref="C2:J2"/>
    <mergeCell ref="C3:F3"/>
    <mergeCell ref="C6:J6"/>
    <mergeCell ref="C7:F7"/>
    <mergeCell ref="C10:J10"/>
    <mergeCell ref="C8:F8"/>
    <mergeCell ref="I4:J4"/>
  </mergeCells>
  <conditionalFormatting sqref="L19:L68">
    <cfRule type="duplicateValues" dxfId="0" priority="3"/>
  </conditionalFormatting>
  <dataValidations count="20">
    <dataValidation type="list" allowBlank="1" showInputMessage="1" showErrorMessage="1" promptTitle="Surrendor month" prompt="Just give your surrendor month. If never taken surrendor keep it &quot;Nil&quot;" sqref="C31">
      <formula1>"Nil,Mar,Apr,May,Jun,Jul,Aug,Sep,Oct,Nov,Dec,Jan,Feb"</formula1>
    </dataValidation>
    <dataValidation allowBlank="1" showInputMessage="1" showErrorMessage="1" promptTitle="Date of Birth" prompt="Use the side calendor." sqref="C32"/>
    <dataValidation allowBlank="1" showInputMessage="1" showErrorMessage="1" promptTitle="Agricultural Income" prompt="If you have not Agricultural Income keep it &quot;0&quot;" sqref="C35"/>
    <dataValidation allowBlank="1" showInputMessage="1" showErrorMessage="1" promptTitle="Actual H R A" prompt="If it is bove 8,333 P.M. must submitt owner PAN No." sqref="C30"/>
    <dataValidation type="list" allowBlank="1" showInputMessage="1" showErrorMessage="1" promptTitle="Medical allowance for Teacher" prompt="If not applicale keep it &quot;No&quot;" sqref="C28">
      <formula1>"Yes,No"</formula1>
    </dataValidation>
    <dataValidation type="list" allowBlank="1" showInputMessage="1" showErrorMessage="1" promptTitle="H R A deduction in IT" prompt="If you don't want to claim keep it &quot;No&quot;" sqref="C29">
      <formula1>"Yes,No"</formula1>
    </dataValidation>
    <dataValidation type="list" allowBlank="1" showInputMessage="1" showErrorMessage="1" sqref="C21 C17 C19 C12">
      <formula1>"Yes,No"</formula1>
    </dataValidation>
    <dataValidation type="list" allowBlank="1" showInputMessage="1" showErrorMessage="1" promptTitle="C.C.A." prompt="If not applicable keep it &quot;0&quot;" sqref="C24">
      <formula1>"0,400,450,500,600"</formula1>
    </dataValidation>
    <dataValidation type="list" allowBlank="1" showInputMessage="1" showErrorMessage="1" sqref="C23">
      <formula1>"A,B,C,D"</formula1>
    </dataValidation>
    <dataValidation type="list" allowBlank="1" showInputMessage="1" showErrorMessage="1" sqref="C22">
      <formula1>"Govt,Private"</formula1>
    </dataValidation>
    <dataValidation type="whole" allowBlank="1" showInputMessage="1" showErrorMessage="1" promptTitle="Small family norms" prompt="If not applicable keep it &quot;0&quot;" sqref="C25:C26">
      <formula1>0</formula1>
      <formula2>1500</formula2>
    </dataValidation>
    <dataValidation type="list" allowBlank="1" showInputMessage="1" showErrorMessage="1" promptTitle="Conveyance Allowance for P.H." prompt="If not applicable keep it &quot;No&quot;" sqref="C27">
      <formula1>"Yes,No"</formula1>
    </dataValidation>
    <dataValidation type="list" allowBlank="1" showInputMessage="1" showErrorMessage="1" sqref="D18">
      <formula1>"Jan,Feb,Mar,Apl,May,Jun,Jul,Aug,Sep,Oct,Nov,Dec"</formula1>
    </dataValidation>
    <dataValidation type="list" allowBlank="1" showInputMessage="1" showErrorMessage="1" sqref="C18">
      <formula1>"1,2,3,4,5,6,7,8,9,10,11,12,13,14,15,16,17,18,19,20,21,22,23,24,25,26,27,28,29,30,31"</formula1>
    </dataValidation>
    <dataValidation type="list" allowBlank="1" showInputMessage="1" showErrorMessage="1" sqref="C11">
      <formula1>$O$4:$DB$4</formula1>
    </dataValidation>
    <dataValidation type="list" allowBlank="1" showInputMessage="1" showErrorMessage="1" sqref="J12:J25">
      <formula1>"A,B,C"</formula1>
    </dataValidation>
    <dataValidation type="list" allowBlank="1" showInputMessage="1" showErrorMessage="1" sqref="C10:J10">
      <formula1>$N$2:$N$26</formula1>
    </dataValidation>
    <dataValidation type="list" allowBlank="1" showInputMessage="1" showErrorMessage="1" sqref="C16">
      <formula1>$L$18:$L$68</formula1>
    </dataValidation>
    <dataValidation type="list" allowBlank="1" showInputMessage="1" showErrorMessage="1" sqref="C13">
      <formula1>"Regular,Stagnation"</formula1>
    </dataValidation>
    <dataValidation type="list" allowBlank="1" showInputMessage="1" showErrorMessage="1" sqref="C14">
      <formula1>"Jan,Jul"</formula1>
    </dataValidation>
  </dataValidations>
  <pageMargins left="0.31496062992125984" right="0.31496062992125984" top="0.74803149606299213" bottom="0.74803149606299213" header="0.31496062992125984" footer="0.31496062992125984"/>
  <pageSetup paperSize="9" scale="76" orientation="portrait" r:id="rId1"/>
  <headerFooter>
    <oddFooter>&amp;LFor more details contact : hucheshpk@gmail.com,  &amp;Rmob : 9844025347</oddFooter>
  </headerFooter>
  <ignoredErrors>
    <ignoredError sqref="AN4" formula="1"/>
  </ignoredErrors>
  <drawing r:id="rId2"/>
  <legacyDrawing r:id="rId3"/>
  <controls>
    <mc:AlternateContent xmlns:mc="http://schemas.openxmlformats.org/markup-compatibility/2006">
      <mc:Choice Requires="x14">
        <control shapeId="3082" r:id="rId4" name="CommandButton1">
          <controlPr autoLine="0" r:id="rId5">
            <anchor moveWithCells="1">
              <from>
                <xdr:col>6</xdr:col>
                <xdr:colOff>171450</xdr:colOff>
                <xdr:row>2</xdr:row>
                <xdr:rowOff>38100</xdr:rowOff>
              </from>
              <to>
                <xdr:col>9</xdr:col>
                <xdr:colOff>123825</xdr:colOff>
                <xdr:row>3</xdr:row>
                <xdr:rowOff>9525</xdr:rowOff>
              </to>
            </anchor>
          </controlPr>
        </control>
      </mc:Choice>
      <mc:Fallback>
        <control shapeId="3082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U79"/>
  <sheetViews>
    <sheetView showGridLines="0" view="pageBreakPreview" zoomScaleSheetLayoutView="100" workbookViewId="0">
      <selection activeCell="D9" sqref="D9"/>
    </sheetView>
  </sheetViews>
  <sheetFormatPr defaultRowHeight="12.75"/>
  <cols>
    <col min="1" max="1" width="3.42578125" customWidth="1"/>
    <col min="2" max="2" width="10.140625" customWidth="1"/>
    <col min="3" max="3" width="11.28515625" customWidth="1"/>
    <col min="4" max="4" width="8.85546875" customWidth="1"/>
    <col min="5" max="5" width="10.42578125" customWidth="1"/>
    <col min="6" max="6" width="9.85546875" customWidth="1"/>
    <col min="7" max="7" width="7.140625" customWidth="1"/>
    <col min="8" max="8" width="8.5703125" customWidth="1"/>
    <col min="9" max="9" width="8.140625" customWidth="1"/>
    <col min="10" max="10" width="6.85546875" customWidth="1"/>
    <col min="11" max="11" width="10.85546875" customWidth="1"/>
    <col min="12" max="12" width="7.42578125" customWidth="1"/>
    <col min="13" max="13" width="9.140625" customWidth="1"/>
    <col min="14" max="14" width="8.28515625" customWidth="1"/>
    <col min="15" max="15" width="8.5703125" customWidth="1"/>
    <col min="16" max="16" width="9.28515625" customWidth="1"/>
    <col min="17" max="17" width="10.140625" customWidth="1"/>
    <col min="18" max="18" width="12.28515625" customWidth="1"/>
    <col min="19" max="19" width="11.140625" hidden="1" customWidth="1"/>
    <col min="20" max="20" width="9.140625" hidden="1" customWidth="1"/>
    <col min="21" max="21" width="10.42578125" customWidth="1"/>
    <col min="22" max="22" width="9.140625" customWidth="1"/>
  </cols>
  <sheetData>
    <row r="1" spans="1:20" ht="22.5" customHeight="1">
      <c r="B1" s="249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1"/>
    </row>
    <row r="2" spans="1:20" ht="26.25" customHeight="1">
      <c r="A2" s="321" t="s">
        <v>99</v>
      </c>
      <c r="B2" s="330" t="s">
        <v>213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2"/>
    </row>
    <row r="3" spans="1:20" ht="20.25" customHeight="1">
      <c r="A3" s="322"/>
      <c r="B3" s="243" t="s">
        <v>12</v>
      </c>
      <c r="C3" s="189" t="str">
        <f>Details!C2</f>
        <v>ಶ್ರೀನಿವಾಸ ಹೆಚ್.ಟಿ.</v>
      </c>
      <c r="D3" s="189"/>
      <c r="E3" s="189"/>
      <c r="F3" s="189"/>
      <c r="G3" s="189"/>
      <c r="H3" s="189"/>
      <c r="I3" s="189"/>
      <c r="J3" s="27" t="s">
        <v>41</v>
      </c>
      <c r="K3" s="170" t="str">
        <f>Details!C3</f>
        <v>ದೈಹಿಕ ಶಿಕ್ಷಣ ಶಿಕ್ಷಕರು(ಗ್ರೇಡ್-1)</v>
      </c>
      <c r="L3" s="170"/>
      <c r="M3" s="27"/>
      <c r="N3" s="244" t="s">
        <v>153</v>
      </c>
      <c r="O3" s="341">
        <f>Details!F4</f>
        <v>1260321</v>
      </c>
      <c r="P3" s="341"/>
      <c r="Q3" s="28"/>
      <c r="R3" s="29"/>
    </row>
    <row r="4" spans="1:20" ht="37.5" customHeight="1">
      <c r="A4" s="322"/>
      <c r="B4" s="333" t="s">
        <v>235</v>
      </c>
      <c r="C4" s="334"/>
      <c r="D4" s="284" t="str">
        <f>Details!C5</f>
        <v>2718 E BLOCK, KANAKADASANAGARA MYSORE</v>
      </c>
      <c r="E4" s="284"/>
      <c r="F4" s="284"/>
      <c r="G4" s="284"/>
      <c r="H4" s="284"/>
      <c r="I4" s="284"/>
      <c r="J4" s="27" t="s">
        <v>40</v>
      </c>
      <c r="K4" s="27"/>
      <c r="L4" s="30"/>
      <c r="M4" s="30"/>
      <c r="N4" s="31" t="s">
        <v>21</v>
      </c>
      <c r="O4" s="335">
        <f>Details!C9</f>
        <v>0</v>
      </c>
      <c r="P4" s="336"/>
      <c r="Q4" s="336"/>
      <c r="R4" s="337"/>
      <c r="S4">
        <f>IF(Details!C12="Yes",300,IF(Details!C12="No",0))</f>
        <v>0</v>
      </c>
      <c r="T4" s="88">
        <f>Details!C25</f>
        <v>0</v>
      </c>
    </row>
    <row r="5" spans="1:20" s="5" customFormat="1" ht="37.5" customHeight="1" thickBot="1">
      <c r="A5" s="322"/>
      <c r="B5" s="323" t="s">
        <v>236</v>
      </c>
      <c r="C5" s="324"/>
      <c r="D5" s="285">
        <f>Details!I4</f>
        <v>497378753229</v>
      </c>
      <c r="E5" s="285"/>
      <c r="F5" s="285"/>
      <c r="G5" s="285"/>
      <c r="H5" s="285"/>
      <c r="I5" s="184"/>
      <c r="J5" s="301" t="str">
        <f>Details!C6</f>
        <v>GJC(HS) KARIMUDDANAHALLI, HUNSUR TQ.</v>
      </c>
      <c r="K5" s="301"/>
      <c r="L5" s="301"/>
      <c r="M5" s="301"/>
      <c r="N5" s="32" t="s">
        <v>13</v>
      </c>
      <c r="O5" s="302" t="str">
        <f>Details!C4</f>
        <v>AXTPS4023M</v>
      </c>
      <c r="P5" s="303"/>
      <c r="Q5" s="303"/>
      <c r="R5" s="304"/>
      <c r="S5" s="175">
        <f>S4+T4</f>
        <v>0</v>
      </c>
    </row>
    <row r="6" spans="1:20" ht="17.25" customHeight="1">
      <c r="A6" s="322"/>
      <c r="B6" s="63"/>
      <c r="C6" s="92" t="s">
        <v>87</v>
      </c>
      <c r="D6" s="97" t="str">
        <f>Details!C10</f>
        <v>43100-1100-46400-1250-53900-1450-62600-1650-72500-1900-83900</v>
      </c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P6" s="99"/>
      <c r="Q6" s="100"/>
      <c r="R6" s="101"/>
      <c r="T6">
        <v>10</v>
      </c>
    </row>
    <row r="7" spans="1:20" ht="14.25" customHeight="1">
      <c r="A7" s="322"/>
      <c r="B7" s="338" t="s">
        <v>31</v>
      </c>
      <c r="C7" s="339" t="s">
        <v>1</v>
      </c>
      <c r="D7" s="339"/>
      <c r="E7" s="339"/>
      <c r="F7" s="339"/>
      <c r="G7" s="339"/>
      <c r="H7" s="339"/>
      <c r="I7" s="339"/>
      <c r="J7" s="339"/>
      <c r="K7" s="339"/>
      <c r="L7" s="339" t="s">
        <v>11</v>
      </c>
      <c r="M7" s="339"/>
      <c r="N7" s="339"/>
      <c r="O7" s="339"/>
      <c r="P7" s="339"/>
      <c r="Q7" s="339"/>
      <c r="R7" s="340"/>
      <c r="T7" s="58"/>
    </row>
    <row r="8" spans="1:20" ht="24.75" customHeight="1">
      <c r="A8" s="322"/>
      <c r="B8" s="338"/>
      <c r="C8" s="2" t="s">
        <v>2</v>
      </c>
      <c r="D8" s="2" t="s">
        <v>206</v>
      </c>
      <c r="E8" s="2" t="s">
        <v>3</v>
      </c>
      <c r="F8" s="2" t="s">
        <v>4</v>
      </c>
      <c r="G8" s="2" t="s">
        <v>42</v>
      </c>
      <c r="H8" s="2" t="s">
        <v>5</v>
      </c>
      <c r="I8" s="171" t="s">
        <v>239</v>
      </c>
      <c r="J8" s="196" t="s">
        <v>241</v>
      </c>
      <c r="K8" s="2" t="s">
        <v>6</v>
      </c>
      <c r="L8" s="2" t="s">
        <v>7</v>
      </c>
      <c r="M8" s="2" t="s">
        <v>8</v>
      </c>
      <c r="N8" s="2" t="s">
        <v>9</v>
      </c>
      <c r="O8" s="2" t="s">
        <v>10</v>
      </c>
      <c r="P8" s="2" t="s">
        <v>44</v>
      </c>
      <c r="Q8" s="2" t="s">
        <v>102</v>
      </c>
      <c r="R8" s="1" t="s">
        <v>32</v>
      </c>
      <c r="S8" s="33"/>
      <c r="T8">
        <f>IF(Details!C23="A",480,IF(Details!C23="B",360,IF(Details!C23="C",240,IF(Details!C23="D",120))))</f>
        <v>360</v>
      </c>
    </row>
    <row r="9" spans="1:20">
      <c r="A9" s="322"/>
      <c r="B9" s="38">
        <v>43525</v>
      </c>
      <c r="C9" s="59">
        <f>IF(Details!C13="Regular",Details!L2,IF(Details!C13="Stagnation",Details!K18))</f>
        <v>62600</v>
      </c>
      <c r="D9" s="107">
        <v>0</v>
      </c>
      <c r="E9" s="59">
        <f>ROUND((C9)*S9%,0)</f>
        <v>2348</v>
      </c>
      <c r="F9" s="111">
        <f>ROUND(IF(Details!J13="A",(C10)*24%,IF(Details!J13="B",(C10)*16%,IF(Details!J13="C",(C10)*8%))),0)</f>
        <v>5008</v>
      </c>
      <c r="G9" s="111">
        <f>IF(Details!C28="Yes",200,IF(Details!C28="No",0))</f>
        <v>0</v>
      </c>
      <c r="H9" s="111">
        <f>ROUND(IF(Details!C27="Yes",(C9+D9)*6%,IF(Details!C27="No",0)),0)</f>
        <v>0</v>
      </c>
      <c r="I9" s="59">
        <f>S5</f>
        <v>0</v>
      </c>
      <c r="J9" s="59">
        <f>IF(Details!J12="A",Details!C24,IF(Details!J12="B",Details!C24,IF(Details!J12="C",0)))</f>
        <v>0</v>
      </c>
      <c r="K9" s="54">
        <f>C9+D9+E9+F9+G9+H9+I9+J9</f>
        <v>69956</v>
      </c>
      <c r="L9" s="59">
        <f>IF(Details!C19="Yes",0,IF(Details!C19="No",200))</f>
        <v>200</v>
      </c>
      <c r="M9" s="59">
        <f>IF(Details!C21="No",Details!F12,IF(Details!C21="Yes","0"))</f>
        <v>2000</v>
      </c>
      <c r="N9" s="59">
        <f>Details!G12</f>
        <v>2000</v>
      </c>
      <c r="O9" s="59">
        <f>Details!H12</f>
        <v>1272</v>
      </c>
      <c r="P9" s="111">
        <f>ROUND(IF(Details!C21="Yes",(C9+E9)*10%,IF(Details!C21="No",0)),0)</f>
        <v>0</v>
      </c>
      <c r="Q9" s="59">
        <f>IF(Details!C22="Govt",T8,IF(Details!C22="Private",T6))</f>
        <v>360</v>
      </c>
      <c r="R9" s="60">
        <f>Details!I12</f>
        <v>0</v>
      </c>
      <c r="S9" s="11">
        <v>3.75</v>
      </c>
    </row>
    <row r="10" spans="1:20" ht="15.75" customHeight="1">
      <c r="A10" s="322"/>
      <c r="B10" s="38">
        <v>43556</v>
      </c>
      <c r="C10" s="59">
        <f>IF(Details!C13="Regular",Details!L3,IF(Details!C13="Stagnation",Details!K19))</f>
        <v>62600</v>
      </c>
      <c r="D10" s="107">
        <v>0</v>
      </c>
      <c r="E10" s="59">
        <f>ROUND((C10)*S10%,0)</f>
        <v>4069</v>
      </c>
      <c r="F10" s="111">
        <f>ROUND(IF(Details!J13="A",(C10)*24%,IF(Details!J13="B",(C10)*16%,IF(Details!J13="C",(C10)*8%))),0)</f>
        <v>5008</v>
      </c>
      <c r="G10" s="59">
        <f>G9</f>
        <v>0</v>
      </c>
      <c r="H10" s="111">
        <f>ROUND(IF(Details!C27="Yes",(C10+D10)*6%,IF(Details!C27="No",0)),0)</f>
        <v>0</v>
      </c>
      <c r="I10" s="59">
        <f>I9</f>
        <v>0</v>
      </c>
      <c r="J10" s="59">
        <f>IF(Details!J13="A",Details!C24,IF(Details!J13="B",Details!C24,IF(Details!J13="C",0)))</f>
        <v>0</v>
      </c>
      <c r="K10" s="54">
        <f t="shared" ref="K10:K20" si="0">C10+D10+E10+F10+G10+H10+I10+J10</f>
        <v>71677</v>
      </c>
      <c r="L10" s="59">
        <f>L9</f>
        <v>200</v>
      </c>
      <c r="M10" s="59">
        <f>IF(Details!C21="No",Details!F13,IF(Details!C21="Yes","0"))</f>
        <v>2000</v>
      </c>
      <c r="N10" s="59">
        <f>Details!G13</f>
        <v>2000</v>
      </c>
      <c r="O10" s="59">
        <f>Details!H13</f>
        <v>1272</v>
      </c>
      <c r="P10" s="111">
        <f>ROUND(IF(Details!C21="Yes",(C10+E10)*10%,IF(Details!C21="No",0)),0)</f>
        <v>0</v>
      </c>
      <c r="Q10" s="59">
        <f>IF(Details!C22="Govt",T8,IF(Details!C22="Private",T6))</f>
        <v>360</v>
      </c>
      <c r="R10" s="60">
        <f>Details!I13</f>
        <v>0</v>
      </c>
      <c r="S10" s="11">
        <v>6.5</v>
      </c>
    </row>
    <row r="11" spans="1:20" ht="15" customHeight="1">
      <c r="A11" s="322"/>
      <c r="B11" s="38">
        <v>43586</v>
      </c>
      <c r="C11" s="59">
        <f>IF(Details!C13="Regular",Details!L4,IF(Details!C13="Stagnation",Details!K20))</f>
        <v>62600</v>
      </c>
      <c r="D11" s="107">
        <v>0</v>
      </c>
      <c r="E11" s="59">
        <f>ROUND((C11)*S10%,0)</f>
        <v>4069</v>
      </c>
      <c r="F11" s="111">
        <f>ROUND(IF(Details!J14="A",(C11)*24%,IF(Details!J14="B",(C11)*16%,IF(Details!J14="C",(C11)*8%))),0)</f>
        <v>5008</v>
      </c>
      <c r="G11" s="59">
        <f t="shared" ref="G11:G20" si="1">G10</f>
        <v>0</v>
      </c>
      <c r="H11" s="111">
        <f>ROUND(IF(Details!C27="Yes",(C11+D11)*6%,IF(Details!C27="No",0)),0)</f>
        <v>0</v>
      </c>
      <c r="I11" s="59">
        <f t="shared" ref="I11:I20" si="2">I10</f>
        <v>0</v>
      </c>
      <c r="J11" s="59">
        <f>IF(Details!J14="A",Details!C24,IF(Details!J14="B",Details!C24,IF(Details!J14="C",0)))</f>
        <v>0</v>
      </c>
      <c r="K11" s="54">
        <f t="shared" si="0"/>
        <v>71677</v>
      </c>
      <c r="L11" s="59">
        <f t="shared" ref="L11:L20" si="3">L10</f>
        <v>200</v>
      </c>
      <c r="M11" s="59">
        <f>IF(Details!C21="No",Details!F14,IF(Details!C21="Yes","0"))</f>
        <v>2000</v>
      </c>
      <c r="N11" s="59">
        <f>Details!G14</f>
        <v>2000</v>
      </c>
      <c r="O11" s="59">
        <f>Details!H14</f>
        <v>1272</v>
      </c>
      <c r="P11" s="111">
        <f>ROUND(IF(Details!C21="Yes",(C11+E11)*10%,IF(Details!C21="No",0)),0)</f>
        <v>0</v>
      </c>
      <c r="Q11" s="59">
        <f>IF(Details!C22="Govt",T8,IF(Details!C22="Private",T6))</f>
        <v>360</v>
      </c>
      <c r="R11" s="60">
        <f>Details!I14</f>
        <v>0</v>
      </c>
      <c r="S11" s="11">
        <v>11.25</v>
      </c>
    </row>
    <row r="12" spans="1:20" ht="16.5" customHeight="1">
      <c r="A12" s="322"/>
      <c r="B12" s="38">
        <v>43617</v>
      </c>
      <c r="C12" s="59">
        <f>IF(Details!C13="Regular",Details!L5,IF(Details!C13="Stagnation",Details!K21))</f>
        <v>62600</v>
      </c>
      <c r="D12" s="107">
        <v>0</v>
      </c>
      <c r="E12" s="59">
        <f>ROUND((C12)*S10%,0)</f>
        <v>4069</v>
      </c>
      <c r="F12" s="111">
        <f>ROUND(IF(Details!J15="A",(C12)*24%,IF(Details!J15="B",(C12)*16%,IF(Details!J15="C",(C12)*8%))),0)</f>
        <v>5008</v>
      </c>
      <c r="G12" s="59">
        <f t="shared" si="1"/>
        <v>0</v>
      </c>
      <c r="H12" s="111">
        <f>ROUND(IF(Details!C27="Yes",(C12+D12)*6%,IF(Details!C27="No",0)),0)</f>
        <v>0</v>
      </c>
      <c r="I12" s="59">
        <f t="shared" si="2"/>
        <v>0</v>
      </c>
      <c r="J12" s="59">
        <f>IF(Details!J14="A",Details!C24,IF(Details!J15="B",Details!C24,IF(Details!J15="C",0)))</f>
        <v>0</v>
      </c>
      <c r="K12" s="54">
        <f t="shared" si="0"/>
        <v>71677</v>
      </c>
      <c r="L12" s="59">
        <f t="shared" si="3"/>
        <v>200</v>
      </c>
      <c r="M12" s="59">
        <f>IF(Details!C21="No",Details!F15,IF(Details!C21="Yes","0"))</f>
        <v>2000</v>
      </c>
      <c r="N12" s="59">
        <f>Details!G15</f>
        <v>2000</v>
      </c>
      <c r="O12" s="59">
        <f>Details!H15</f>
        <v>1272</v>
      </c>
      <c r="P12" s="111">
        <f>ROUND(IF(Details!C21="Yes",(C12+E12)*10%,IF(Details!C21="No",0)),0)</f>
        <v>0</v>
      </c>
      <c r="Q12" s="59">
        <f>IF(Details!C22="Govt",T8,IF(Details!C22="Private",T6))</f>
        <v>360</v>
      </c>
      <c r="R12" s="60">
        <f>Details!I15</f>
        <v>0</v>
      </c>
      <c r="S12" s="11">
        <v>2.75</v>
      </c>
    </row>
    <row r="13" spans="1:20" ht="15.75" customHeight="1">
      <c r="A13" s="322"/>
      <c r="B13" s="38">
        <v>43647</v>
      </c>
      <c r="C13" s="59">
        <f>IF(Details!C13="Regular",Details!L6,IF(Details!C13="Stagnation",Details!K22))</f>
        <v>62600</v>
      </c>
      <c r="D13" s="107">
        <v>0</v>
      </c>
      <c r="E13" s="59">
        <f>ROUND((C13)*S10%,0)</f>
        <v>4069</v>
      </c>
      <c r="F13" s="111">
        <f>ROUND(IF(Details!J16="A",(C13)*24%,IF(Details!J16="B",(C13)*16%,IF(Details!J16="C",(C13)*8%))),0)</f>
        <v>5008</v>
      </c>
      <c r="G13" s="59">
        <f t="shared" si="1"/>
        <v>0</v>
      </c>
      <c r="H13" s="111">
        <f>ROUND(IF(Details!C27="Yes",(C13+D13)*6%,IF(Details!C27="No",0)),0)</f>
        <v>0</v>
      </c>
      <c r="I13" s="59">
        <f t="shared" si="2"/>
        <v>0</v>
      </c>
      <c r="J13" s="59">
        <f>IF(Details!J16="A",Details!C24,IF(Details!J16="B",Details!C24,IF(Details!J16="C",0)))</f>
        <v>0</v>
      </c>
      <c r="K13" s="54">
        <f t="shared" si="0"/>
        <v>71677</v>
      </c>
      <c r="L13" s="59">
        <f t="shared" si="3"/>
        <v>200</v>
      </c>
      <c r="M13" s="59">
        <f>IF(Details!C21="No",Details!F16,IF(Details!C21="Yes","0"))</f>
        <v>2000</v>
      </c>
      <c r="N13" s="59">
        <f>Details!G16</f>
        <v>2000</v>
      </c>
      <c r="O13" s="59">
        <f>Details!H16</f>
        <v>1272</v>
      </c>
      <c r="P13" s="111">
        <f>ROUND(IF(Details!C21="Yes",(C13+E13)*10%,IF(Details!C21="No",0)),0)</f>
        <v>0</v>
      </c>
      <c r="Q13" s="59">
        <f>IF(Details!C22="Govt",T8,IF(Details!C22="Private",T6))</f>
        <v>360</v>
      </c>
      <c r="R13" s="60">
        <f>Details!I16</f>
        <v>0</v>
      </c>
      <c r="S13" s="11">
        <v>4.75</v>
      </c>
    </row>
    <row r="14" spans="1:20" ht="16.5" customHeight="1">
      <c r="A14" s="322"/>
      <c r="B14" s="38">
        <v>43678</v>
      </c>
      <c r="C14" s="59">
        <f>IF(Details!C13="Regular",Details!L7,IF(Details!C13="Stagnation",Details!K23))</f>
        <v>62600</v>
      </c>
      <c r="D14" s="107">
        <v>0</v>
      </c>
      <c r="E14" s="59">
        <f>ROUND((C14)*S10%,0)</f>
        <v>4069</v>
      </c>
      <c r="F14" s="111">
        <f>ROUND(IF(Details!J17="A",(C14)*24%,IF(Details!J17="B",(C14)*16%,IF(Details!J17="C",(C14)*8%))),0)</f>
        <v>5008</v>
      </c>
      <c r="G14" s="59">
        <f t="shared" si="1"/>
        <v>0</v>
      </c>
      <c r="H14" s="111">
        <f>ROUND(IF(Details!C27="Yes",(C14+D14)*6%,IF(Details!C27="No",0)),0)</f>
        <v>0</v>
      </c>
      <c r="I14" s="59">
        <f t="shared" si="2"/>
        <v>0</v>
      </c>
      <c r="J14" s="59">
        <f>IF(Details!J17="A",Details!C24,IF(Details!J17="B",Details!C24,IF(Details!J17="C",0)))</f>
        <v>0</v>
      </c>
      <c r="K14" s="54">
        <f t="shared" si="0"/>
        <v>71677</v>
      </c>
      <c r="L14" s="59">
        <f t="shared" si="3"/>
        <v>200</v>
      </c>
      <c r="M14" s="59">
        <f>IF(Details!C21="No",Details!F17,IF(Details!C21="Yes","0"))</f>
        <v>2000</v>
      </c>
      <c r="N14" s="59">
        <f>Details!G17</f>
        <v>2000</v>
      </c>
      <c r="O14" s="59">
        <f>Details!H17</f>
        <v>1272</v>
      </c>
      <c r="P14" s="111">
        <f>ROUND(IF(Details!C21="Yes",(C14+E14)*10%,IF(Details!C21="No",0)),0)</f>
        <v>0</v>
      </c>
      <c r="Q14" s="59">
        <f>IF(Details!C22="Govt",T8,IF(Details!C22="Private",T6))</f>
        <v>360</v>
      </c>
      <c r="R14" s="60">
        <f>Details!I17</f>
        <v>0</v>
      </c>
      <c r="S14" s="33"/>
    </row>
    <row r="15" spans="1:20" ht="13.5" customHeight="1">
      <c r="A15" s="322"/>
      <c r="B15" s="38">
        <v>43709</v>
      </c>
      <c r="C15" s="59">
        <f>IF(Details!C13="Regular",Details!L8,IF(Details!C13="Stagnation",Details!K24))</f>
        <v>62600</v>
      </c>
      <c r="D15" s="107">
        <v>0</v>
      </c>
      <c r="E15" s="59">
        <f>ROUND((C15)*S10%,0)</f>
        <v>4069</v>
      </c>
      <c r="F15" s="111">
        <f>ROUND(IF(Details!J18="A",(C15)*24%,IF(Details!J18="B",(C15)*16%,IF(Details!J18="C",(C15)*8%))),0)</f>
        <v>5008</v>
      </c>
      <c r="G15" s="59">
        <f t="shared" si="1"/>
        <v>0</v>
      </c>
      <c r="H15" s="111">
        <f>ROUND(IF(Details!C27="Yes",(C15+D15)*6%,IF(Details!C27="No",0)),0)</f>
        <v>0</v>
      </c>
      <c r="I15" s="59">
        <f t="shared" si="2"/>
        <v>0</v>
      </c>
      <c r="J15" s="59">
        <f>IF(Details!J18="A",Details!C24,IF(Details!J18="B",Details!C24,IF(Details!J18="C",0)))</f>
        <v>0</v>
      </c>
      <c r="K15" s="54">
        <f t="shared" si="0"/>
        <v>71677</v>
      </c>
      <c r="L15" s="59">
        <f t="shared" si="3"/>
        <v>200</v>
      </c>
      <c r="M15" s="59">
        <f>IF(Details!C21="No",Details!F18,IF(Details!C21="Yes","0"))</f>
        <v>2000</v>
      </c>
      <c r="N15" s="59">
        <f>Details!G18</f>
        <v>2000</v>
      </c>
      <c r="O15" s="59">
        <f>Details!H18</f>
        <v>1272</v>
      </c>
      <c r="P15" s="111">
        <f>ROUND(IF(Details!C21="Yes",(C15+E15)*10%,IF(Details!C21="No",0)),0)</f>
        <v>0</v>
      </c>
      <c r="Q15" s="59">
        <f>IF(Details!C22="Govt",T8,IF(Details!C22="Private",T6))</f>
        <v>360</v>
      </c>
      <c r="R15" s="60">
        <f>Details!I18</f>
        <v>0</v>
      </c>
      <c r="S15" s="33"/>
    </row>
    <row r="16" spans="1:20" ht="15" customHeight="1">
      <c r="A16" s="322"/>
      <c r="B16" s="38">
        <v>43739</v>
      </c>
      <c r="C16" s="59">
        <f>IF(Details!C13="Regular",Details!L9,IF(Details!C13="Stagnation",Details!K25))</f>
        <v>62600</v>
      </c>
      <c r="D16" s="107">
        <v>0</v>
      </c>
      <c r="E16" s="59">
        <f>ROUND((C16)*S11%,0)</f>
        <v>7043</v>
      </c>
      <c r="F16" s="111">
        <f>ROUND(IF(Details!J19="A",(C16)*24%,IF(Details!J19="B",(C16)*16%,IF(Details!J19="C",(C16)*8%))),0)</f>
        <v>5008</v>
      </c>
      <c r="G16" s="59">
        <f t="shared" si="1"/>
        <v>0</v>
      </c>
      <c r="H16" s="111">
        <f>ROUND(IF(Details!C27="Yes",(C16+D16)*6%,IF(Details!C27="No",0)),0)</f>
        <v>0</v>
      </c>
      <c r="I16" s="59">
        <f t="shared" si="2"/>
        <v>0</v>
      </c>
      <c r="J16" s="59">
        <f>IF(Details!J19="A",Details!C24,IF(Details!J19="B",Details!C24,IF(Details!J19="C",0)))</f>
        <v>0</v>
      </c>
      <c r="K16" s="54">
        <f t="shared" si="0"/>
        <v>74651</v>
      </c>
      <c r="L16" s="59">
        <f t="shared" si="3"/>
        <v>200</v>
      </c>
      <c r="M16" s="59">
        <f>IF(Details!C21="No",Details!F19,IF(Details!C21="Yes","0"))</f>
        <v>2000</v>
      </c>
      <c r="N16" s="59">
        <f>Details!G19</f>
        <v>2000</v>
      </c>
      <c r="O16" s="59">
        <f>Details!H19</f>
        <v>1272</v>
      </c>
      <c r="P16" s="111">
        <f>ROUND(IF(Details!C21="Yes",(C16+E16)*10%,IF(Details!C21="No",0)),0)</f>
        <v>0</v>
      </c>
      <c r="Q16" s="59">
        <f>IF(Details!C22="Govt",T8,IF(Details!C22="Private",T6))</f>
        <v>360</v>
      </c>
      <c r="R16" s="60">
        <f>Details!I19</f>
        <v>0</v>
      </c>
      <c r="S16" s="33"/>
    </row>
    <row r="17" spans="1:20" ht="15" customHeight="1">
      <c r="A17" s="322"/>
      <c r="B17" s="38">
        <v>43770</v>
      </c>
      <c r="C17" s="59">
        <f>IF(Details!C13="Regular",Details!L10,IF(Details!C13="Stagnation",Details!K26))</f>
        <v>62600</v>
      </c>
      <c r="D17" s="107">
        <v>0</v>
      </c>
      <c r="E17" s="59">
        <f>ROUND((C17)*S11%,0)</f>
        <v>7043</v>
      </c>
      <c r="F17" s="111">
        <f>ROUND(IF(Details!J20="A",(C17)*24%,IF(Details!J20="B",(C17)*16%,IF(Details!J20="C",(C17)*8%))),0)</f>
        <v>5008</v>
      </c>
      <c r="G17" s="59">
        <f t="shared" si="1"/>
        <v>0</v>
      </c>
      <c r="H17" s="111">
        <f>ROUND(IF(Details!C27="Yes",(C17+D17)*6%,IF(Details!C27="No",0)),0)</f>
        <v>0</v>
      </c>
      <c r="I17" s="59">
        <f t="shared" si="2"/>
        <v>0</v>
      </c>
      <c r="J17" s="59">
        <f>IF(Details!J20="A",Details!C24,IF(Details!J20="B",Details!C24,IF(Details!J20="C",0)))</f>
        <v>0</v>
      </c>
      <c r="K17" s="54">
        <f t="shared" si="0"/>
        <v>74651</v>
      </c>
      <c r="L17" s="59">
        <f t="shared" si="3"/>
        <v>200</v>
      </c>
      <c r="M17" s="59">
        <f>IF(Details!C21="No",Details!F20,IF(Details!C21="Yes","0"))</f>
        <v>2000</v>
      </c>
      <c r="N17" s="59">
        <f>Details!G20</f>
        <v>2000</v>
      </c>
      <c r="O17" s="59">
        <f>Details!H20</f>
        <v>1272</v>
      </c>
      <c r="P17" s="111">
        <f>ROUND(IF(Details!C21="Yes",(C17+E17)*10%,IF(Details!C21="No",0)),0)</f>
        <v>0</v>
      </c>
      <c r="Q17" s="59">
        <f>IF(Details!C22="Govt",T8,IF(Details!C22="Private",T6))</f>
        <v>360</v>
      </c>
      <c r="R17" s="60">
        <f>Details!I20</f>
        <v>0</v>
      </c>
      <c r="S17" s="34" t="s">
        <v>57</v>
      </c>
      <c r="T17">
        <f>Details!K1</f>
        <v>62600</v>
      </c>
    </row>
    <row r="18" spans="1:20" ht="13.5" customHeight="1">
      <c r="A18" s="322"/>
      <c r="B18" s="38">
        <v>43800</v>
      </c>
      <c r="C18" s="59">
        <f>IF(Details!C13="Regular",Details!L11,IF(Details!C13="Stagnation",Details!K27))</f>
        <v>62600</v>
      </c>
      <c r="D18" s="107">
        <v>0</v>
      </c>
      <c r="E18" s="59">
        <f>ROUND((C18)*S11%,0)</f>
        <v>7043</v>
      </c>
      <c r="F18" s="111">
        <f>ROUND(IF(Details!J21="A",(C18)*24%,IF(Details!J21="B",(C18)*16%,IF(Details!J21="C",(C18)*8%))),0)</f>
        <v>5008</v>
      </c>
      <c r="G18" s="59">
        <f t="shared" si="1"/>
        <v>0</v>
      </c>
      <c r="H18" s="111">
        <f>ROUND(IF(Details!C27="Yes",(C18+D18)*6%,IF(Details!C27="No",0)),0)</f>
        <v>0</v>
      </c>
      <c r="I18" s="59">
        <f t="shared" si="2"/>
        <v>0</v>
      </c>
      <c r="J18" s="59">
        <f>IF(Details!J21="A",Details!C24,IF(Details!J21="B",Details!C24,IF(Details!J21="C",0)))</f>
        <v>0</v>
      </c>
      <c r="K18" s="54">
        <f t="shared" si="0"/>
        <v>74651</v>
      </c>
      <c r="L18" s="59">
        <f t="shared" si="3"/>
        <v>200</v>
      </c>
      <c r="M18" s="59">
        <f>IF(Details!C21="No",Details!F21,IF(Details!C21="Yes","0"))</f>
        <v>2000</v>
      </c>
      <c r="N18" s="59">
        <f>Details!G21</f>
        <v>2000</v>
      </c>
      <c r="O18" s="59">
        <f>Details!H21</f>
        <v>1272</v>
      </c>
      <c r="P18" s="111">
        <f>ROUND(IF(Details!C21="Yes",(C18+E18)*10%,IF(Details!C21="No",0)),0)</f>
        <v>0</v>
      </c>
      <c r="Q18" s="59">
        <f>IF(Details!C22="Govt",T8,IF(Details!C22="Private",T6))</f>
        <v>360</v>
      </c>
      <c r="R18" s="60">
        <f>Details!I21</f>
        <v>0</v>
      </c>
      <c r="S18" s="33" t="s">
        <v>56</v>
      </c>
      <c r="T18">
        <f>Details!L1</f>
        <v>0</v>
      </c>
    </row>
    <row r="19" spans="1:20" ht="16.5" customHeight="1">
      <c r="A19" s="322"/>
      <c r="B19" s="38">
        <v>43831</v>
      </c>
      <c r="C19" s="59">
        <f>IF(Details!C13="Regular",Details!L12,IF(Details!C13="Stagnation",Details!K28))</f>
        <v>64250</v>
      </c>
      <c r="D19" s="107">
        <v>0</v>
      </c>
      <c r="E19" s="59">
        <f>ROUND((C19)*S11%,0)</f>
        <v>7228</v>
      </c>
      <c r="F19" s="111">
        <f>ROUND(IF(Details!J22="A",(C19)*24%,IF(Details!J22="B",(C19)*16%,IF(Details!J22="C",(C19)*8%))),0)</f>
        <v>5140</v>
      </c>
      <c r="G19" s="59">
        <f>G18</f>
        <v>0</v>
      </c>
      <c r="H19" s="111">
        <f>ROUND(IF(Details!C27="Yes",(C19+D19)*6%,IF(Details!C27="No",0)),0)</f>
        <v>0</v>
      </c>
      <c r="I19" s="59">
        <f t="shared" si="2"/>
        <v>0</v>
      </c>
      <c r="J19" s="59">
        <f>IF(Details!J22="A",Details!C24,IF(Details!J22="B",Details!C24,IF(Details!J22="C",0)))</f>
        <v>0</v>
      </c>
      <c r="K19" s="54">
        <f t="shared" si="0"/>
        <v>76618</v>
      </c>
      <c r="L19" s="59">
        <f t="shared" si="3"/>
        <v>200</v>
      </c>
      <c r="M19" s="59">
        <f>IF(Details!C21="No",Details!F22,IF(Details!C21="Yes","0"))</f>
        <v>2000</v>
      </c>
      <c r="N19" s="59">
        <f>Details!G22</f>
        <v>2000</v>
      </c>
      <c r="O19" s="59">
        <f>Details!H22</f>
        <v>1272</v>
      </c>
      <c r="P19" s="111">
        <f>ROUND(IF(Details!C21="Yes",(C19+E19)*10%,IF(Details!C21="No",0)),0)</f>
        <v>0</v>
      </c>
      <c r="Q19" s="59">
        <f>IF(Details!C22="Govt",T8,IF(Details!C22="Private",T6))</f>
        <v>360</v>
      </c>
      <c r="R19" s="60">
        <f>Details!I22</f>
        <v>0</v>
      </c>
      <c r="S19" s="33"/>
    </row>
    <row r="20" spans="1:20" ht="15" customHeight="1">
      <c r="A20" s="322"/>
      <c r="B20" s="38">
        <v>43862</v>
      </c>
      <c r="C20" s="59">
        <f>IF(Details!C13="Regular",Details!L13,IF(Details!C13="Stagnation",Details!K29))</f>
        <v>64250</v>
      </c>
      <c r="D20" s="107">
        <v>0</v>
      </c>
      <c r="E20" s="59">
        <f>ROUND((C20)*S11%,0)</f>
        <v>7228</v>
      </c>
      <c r="F20" s="111">
        <f>ROUND(IF(Details!J23="A",(C20)*24%,IF(Details!J23="B",(C20)*16%,IF(Details!J23="C",(C20)*8%))),0)</f>
        <v>5140</v>
      </c>
      <c r="G20" s="59">
        <f t="shared" si="1"/>
        <v>0</v>
      </c>
      <c r="H20" s="111">
        <f>ROUND(IF(Details!C27="Yes",(C20+D20)*6%,IF(Details!C27="No",0)),0)</f>
        <v>0</v>
      </c>
      <c r="I20" s="59">
        <f t="shared" si="2"/>
        <v>0</v>
      </c>
      <c r="J20" s="59">
        <f>IF(Details!J23="A",Details!C24,IF(Details!J23="B",Details!C24,IF(Details!J23="C",0)))</f>
        <v>0</v>
      </c>
      <c r="K20" s="54">
        <f t="shared" si="0"/>
        <v>76618</v>
      </c>
      <c r="L20" s="59">
        <f t="shared" si="3"/>
        <v>200</v>
      </c>
      <c r="M20" s="59">
        <f>IF(Details!C21="No",Details!F23,IF(Details!C21="Yes","0"))</f>
        <v>2000</v>
      </c>
      <c r="N20" s="59">
        <f>Details!G23</f>
        <v>2000</v>
      </c>
      <c r="O20" s="59">
        <f>Details!H23</f>
        <v>1272</v>
      </c>
      <c r="P20" s="111">
        <f>ROUND(IF(Details!C21="Yes",(C20+E20)*10%,IF(Details!C21="No",0)),0)</f>
        <v>0</v>
      </c>
      <c r="Q20" s="59">
        <f>Q19</f>
        <v>360</v>
      </c>
      <c r="R20" s="60">
        <f>Details!I23</f>
        <v>0</v>
      </c>
      <c r="S20" s="33"/>
      <c r="T20" s="256">
        <f>ROUND((C9*S12%),0)</f>
        <v>1722</v>
      </c>
    </row>
    <row r="21" spans="1:20" ht="15.75" customHeight="1">
      <c r="A21" s="322"/>
      <c r="B21" s="8" t="s">
        <v>92</v>
      </c>
      <c r="C21" s="59">
        <v>0</v>
      </c>
      <c r="D21" s="59">
        <v>0</v>
      </c>
      <c r="E21" s="59">
        <f>T23</f>
        <v>5166</v>
      </c>
      <c r="F21" s="111">
        <f>ROUND(C21*15%,0)</f>
        <v>0</v>
      </c>
      <c r="G21" s="59">
        <v>0</v>
      </c>
      <c r="H21" s="59">
        <v>0</v>
      </c>
      <c r="I21" s="111">
        <v>0</v>
      </c>
      <c r="J21" s="59">
        <v>0</v>
      </c>
      <c r="K21" s="54">
        <f t="shared" ref="K21:K26" si="4">SUM(C21:J21)</f>
        <v>5166</v>
      </c>
      <c r="L21" s="59">
        <v>0</v>
      </c>
      <c r="M21" s="59">
        <v>0</v>
      </c>
      <c r="N21" s="59">
        <v>0</v>
      </c>
      <c r="O21" s="59">
        <v>0</v>
      </c>
      <c r="P21" s="111">
        <f>ROUND(IF(Details!C21="Yes",(C21+E21)*10%,IF(Details!C21="No",0)),0)</f>
        <v>0</v>
      </c>
      <c r="Q21" s="59">
        <v>0</v>
      </c>
      <c r="R21" s="60">
        <v>0</v>
      </c>
      <c r="T21" s="256">
        <f>ROUND((Details!K15*S12%),0)</f>
        <v>1722</v>
      </c>
    </row>
    <row r="22" spans="1:20" ht="16.5" customHeight="1">
      <c r="A22" s="322"/>
      <c r="B22" s="8" t="s">
        <v>93</v>
      </c>
      <c r="C22" s="59">
        <v>0</v>
      </c>
      <c r="D22" s="59">
        <v>0</v>
      </c>
      <c r="E22" s="59">
        <f>T27</f>
        <v>8922</v>
      </c>
      <c r="F22" s="111">
        <f>ROUND(C22*15%,0)</f>
        <v>0</v>
      </c>
      <c r="G22" s="59">
        <v>0</v>
      </c>
      <c r="H22" s="59">
        <v>0</v>
      </c>
      <c r="I22" s="111">
        <v>0</v>
      </c>
      <c r="J22" s="59">
        <v>0</v>
      </c>
      <c r="K22" s="54">
        <f t="shared" si="4"/>
        <v>8922</v>
      </c>
      <c r="L22" s="59">
        <v>0</v>
      </c>
      <c r="M22" s="59">
        <v>0</v>
      </c>
      <c r="N22" s="59">
        <v>0</v>
      </c>
      <c r="O22" s="59">
        <v>0</v>
      </c>
      <c r="P22" s="111">
        <f>ROUND(IF(Details!C21="Yes",(C22+E22)*10%,IF(Details!C21="No",0)),0)</f>
        <v>0</v>
      </c>
      <c r="Q22" s="59">
        <v>0</v>
      </c>
      <c r="R22" s="60">
        <v>0</v>
      </c>
      <c r="T22" s="256">
        <f>ROUND((Details!K16*S12%),0)</f>
        <v>1722</v>
      </c>
    </row>
    <row r="23" spans="1:20" ht="15.75" customHeight="1">
      <c r="A23" s="322"/>
      <c r="B23" s="8" t="s">
        <v>15</v>
      </c>
      <c r="C23" s="59">
        <f>ROUND(IF(Details!C31="Nil",0,IF(Details!C31="Mar",C9/2,IF(Details!C31="Apr",C10/2,IF(Details!C31="May",C11/2,IF(Details!C31="Jun",C12/2,IF(Details!C31="Jul",C13/2,IF(Details!C31="Aug",C14/2,IF(Details!C31="Sep",C15/2,IF(Details!C31="Oct",C16/2,IF(Details!C31="Nov",C17/2,IF(Details!C31="Dec",C18/2,IF(Details!C31="Jan",C19/2,IF(Details!C31="Feb",C20/2))))))))))))),0)</f>
        <v>0</v>
      </c>
      <c r="D23" s="59">
        <f>ROUND(IF(Details!C31="Nil",0,IF(Details!C31="Mar",D9/2,IF(Details!C31="Apr",D10/2,IF(Details!C31="May",D11/2,IF(Details!C31="Jun",D12/2,IF(Details!C31="Jul",D13/2,IF(Details!C31="Aug",D14/2,IF(Details!C31="Sep",D15/2,IF(Details!C31="Oct",D16/2,IF(Details!C31="Nov",D17/2,IF(Details!C31="Dec",D18/2,IF(Details!C31="Jan",D19/2,IF(Details!C31="Feb",D20/2))))))))))))),0)</f>
        <v>0</v>
      </c>
      <c r="E23" s="59">
        <f>ROUND(IF(Details!C31="Nil",0,IF(Details!C31="Mar",E9/2,IF(Details!C31="Apr",E10/2,IF(Details!C31="May",E11/2,IF(Details!C31="Jun",E12/2,IF(Details!C31="Jul",E13/2,IF(Details!C31="Aug",E14/2,IF(Details!C31="Sep",E15/2,IF(Details!C31="Oct",E16/2,IF(Details!C31="Nov",E17/2,IF(Details!C31="Dec",E18/2,IF(Details!C31="Jan",E19/2,IF(Details!C31="Feb",E20/2))))))))))))),0)</f>
        <v>0</v>
      </c>
      <c r="F23" s="59">
        <f>ROUND(IF(Details!C31="Nil",0,IF(Details!C31="Mar",F9/2,IF(Details!C31="Apr",F10/2,IF(Details!C31="May",F11/2,IF(Details!C31="Jun",F12/2,IF(Details!C31="Jul",F13/2,IF(Details!C31="Aug",F14/2,IF(Details!C31="Sep",F15/2,IF(Details!C31="Oct",F16/2,IF(Details!C31="Nov",F17/2,IF(Details!C31="Dec",F18/2,IF(Details!C31="Jan",F19/2,IF(Details!C31="Feb",F20/2))))))))))))),0)</f>
        <v>0</v>
      </c>
      <c r="G23" s="59">
        <v>0</v>
      </c>
      <c r="H23" s="59">
        <v>0</v>
      </c>
      <c r="I23" s="111">
        <v>0</v>
      </c>
      <c r="J23" s="59" t="str">
        <f>IF(C23&gt;1,J20/2,IF(C23&lt;1,"0"))</f>
        <v>0</v>
      </c>
      <c r="K23" s="54">
        <f t="shared" si="4"/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60">
        <v>0</v>
      </c>
      <c r="T23" s="256">
        <f>SUM(T20:T22)</f>
        <v>5166</v>
      </c>
    </row>
    <row r="24" spans="1:20" ht="15.75" customHeight="1">
      <c r="A24" s="322"/>
      <c r="B24" s="8" t="s">
        <v>85</v>
      </c>
      <c r="C24" s="59">
        <v>0</v>
      </c>
      <c r="D24" s="59">
        <v>0</v>
      </c>
      <c r="E24" s="59">
        <f>IF(Details!C31="Nil",0,IF(Details!C31="Mar",C23*S12%,IF(Details!C31="Apr",0,IF(Details!C31="May",0,IF(Details!C31="Jun",0,IF(Details!C31="Jul",C23*S13%,IF(Details!C31="Aug",C23*S13%,IF(Details!C31="Sep",C23*S13%,IF(Details!C31="Oct",0,IF(Details!C31="Nov",0,IF(Details!C31="Dec",0,IF(Details!C31="Jan",0,IF(Details!C31="Feb",0)))))))))))))</f>
        <v>0</v>
      </c>
      <c r="F24" s="59">
        <v>0</v>
      </c>
      <c r="G24" s="59">
        <v>0</v>
      </c>
      <c r="H24" s="59">
        <v>0</v>
      </c>
      <c r="I24" s="111">
        <v>0</v>
      </c>
      <c r="J24" s="59">
        <v>0</v>
      </c>
      <c r="K24" s="54">
        <f t="shared" si="4"/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60">
        <v>0</v>
      </c>
      <c r="T24" s="256">
        <f>ROUND((C13*S13%),0)</f>
        <v>2974</v>
      </c>
    </row>
    <row r="25" spans="1:20" ht="15.75" customHeight="1">
      <c r="A25" s="322"/>
      <c r="B25" s="8" t="s">
        <v>14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54">
        <f t="shared" si="4"/>
        <v>0</v>
      </c>
      <c r="L25" s="107">
        <v>0</v>
      </c>
      <c r="M25" s="107">
        <v>0</v>
      </c>
      <c r="N25" s="107">
        <v>0</v>
      </c>
      <c r="O25" s="107">
        <v>0</v>
      </c>
      <c r="P25" s="107">
        <v>0</v>
      </c>
      <c r="Q25" s="107">
        <v>0</v>
      </c>
      <c r="R25" s="60">
        <v>0</v>
      </c>
      <c r="T25" s="256">
        <f>ROUND((C14*S13%),0)</f>
        <v>2974</v>
      </c>
    </row>
    <row r="26" spans="1:20" ht="16.5" customHeight="1">
      <c r="A26" s="322"/>
      <c r="B26" s="8" t="s">
        <v>16</v>
      </c>
      <c r="C26" s="107">
        <v>0</v>
      </c>
      <c r="D26" s="107">
        <v>0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54">
        <f t="shared" si="4"/>
        <v>0</v>
      </c>
      <c r="L26" s="107">
        <v>0</v>
      </c>
      <c r="M26" s="107">
        <v>0</v>
      </c>
      <c r="N26" s="107">
        <v>0</v>
      </c>
      <c r="O26" s="107">
        <v>0</v>
      </c>
      <c r="P26" s="107">
        <v>0</v>
      </c>
      <c r="Q26" s="107">
        <v>0</v>
      </c>
      <c r="R26" s="60">
        <v>0</v>
      </c>
      <c r="S26" s="88"/>
      <c r="T26" s="256">
        <f>ROUND((C15*S13%),0)</f>
        <v>2974</v>
      </c>
    </row>
    <row r="27" spans="1:20" ht="18" customHeight="1">
      <c r="A27" s="322"/>
      <c r="B27" s="7"/>
      <c r="C27" s="54">
        <f t="shared" ref="C27:D27" si="5">C9+C10+C11+C12+C13+C14+C15+C16+C17+C18+C19+C20+C21+C22+C23+C24+C25+C26</f>
        <v>754500</v>
      </c>
      <c r="D27" s="54">
        <f t="shared" si="5"/>
        <v>0</v>
      </c>
      <c r="E27" s="54">
        <f>E9+E10+E11+E12+E13+E14+E15+E16+E17+E18+E19+E20+E21+E22+E23+E24+E25+E26</f>
        <v>76435</v>
      </c>
      <c r="F27" s="54">
        <f t="shared" ref="F27:R27" si="6">F9+F10+F11+F12+F13+F14+F15+F16+F17+F18+F19+F20+F21+F22+F23+F24+F25+F26</f>
        <v>60360</v>
      </c>
      <c r="G27" s="54">
        <f t="shared" si="6"/>
        <v>0</v>
      </c>
      <c r="H27" s="54">
        <f t="shared" si="6"/>
        <v>0</v>
      </c>
      <c r="I27" s="54">
        <f t="shared" si="6"/>
        <v>0</v>
      </c>
      <c r="J27" s="54">
        <f t="shared" si="6"/>
        <v>0</v>
      </c>
      <c r="K27" s="54">
        <f t="shared" si="6"/>
        <v>891295</v>
      </c>
      <c r="L27" s="54">
        <f t="shared" si="6"/>
        <v>2400</v>
      </c>
      <c r="M27" s="54">
        <f t="shared" si="6"/>
        <v>24000</v>
      </c>
      <c r="N27" s="54">
        <f t="shared" si="6"/>
        <v>24000</v>
      </c>
      <c r="O27" s="54">
        <f t="shared" si="6"/>
        <v>15264</v>
      </c>
      <c r="P27" s="54">
        <f t="shared" si="6"/>
        <v>0</v>
      </c>
      <c r="Q27" s="54">
        <f t="shared" si="6"/>
        <v>4320</v>
      </c>
      <c r="R27" s="61">
        <f t="shared" si="6"/>
        <v>0</v>
      </c>
      <c r="S27" s="88"/>
      <c r="T27" s="256">
        <f>SUM(T24:T26)</f>
        <v>8922</v>
      </c>
    </row>
    <row r="28" spans="1:20" ht="15.75" customHeight="1">
      <c r="A28" s="322"/>
      <c r="B28" s="246" t="s">
        <v>33</v>
      </c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55"/>
      <c r="R28" s="172">
        <f>K27</f>
        <v>891295</v>
      </c>
      <c r="S28" s="6"/>
    </row>
    <row r="29" spans="1:20" ht="15.75" customHeight="1">
      <c r="A29" s="322"/>
      <c r="B29" s="246" t="s">
        <v>97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74"/>
      <c r="R29" s="190">
        <f>Details!C35</f>
        <v>0</v>
      </c>
      <c r="S29" s="77">
        <v>9</v>
      </c>
    </row>
    <row r="30" spans="1:20" ht="15.75" customHeight="1">
      <c r="A30" s="322"/>
      <c r="B30" s="246" t="s">
        <v>104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74"/>
      <c r="R30" s="191">
        <v>0</v>
      </c>
      <c r="S30" s="82"/>
    </row>
    <row r="31" spans="1:20" ht="15.75" customHeight="1">
      <c r="A31" s="322"/>
      <c r="B31" s="246" t="s">
        <v>198</v>
      </c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74"/>
      <c r="R31" s="192">
        <v>50000</v>
      </c>
      <c r="S31" s="83"/>
    </row>
    <row r="32" spans="1:20" ht="15.75" customHeight="1">
      <c r="A32" s="322"/>
      <c r="B32" s="246" t="s">
        <v>105</v>
      </c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55"/>
      <c r="R32" s="172">
        <f>R28+R29+R30-R31</f>
        <v>841295</v>
      </c>
      <c r="S32" s="77">
        <f>ROUND(IF(S29&gt;=1000000,112500+(S29-1000000)*30%,IF(S29&gt;=500000,12500+(S29-500000)*20%,IF(S29&gt;=250000,(S29-250000)*5%,IF(S29&lt;250000,0)))),0)</f>
        <v>0</v>
      </c>
      <c r="T32" s="3"/>
    </row>
    <row r="33" spans="1:20" ht="15" customHeight="1">
      <c r="A33" s="322"/>
      <c r="B33" s="118" t="s">
        <v>106</v>
      </c>
      <c r="C33" s="22"/>
      <c r="D33" s="22"/>
      <c r="E33" s="116" t="s">
        <v>36</v>
      </c>
      <c r="F33" s="22"/>
      <c r="G33" s="94"/>
      <c r="H33" s="124">
        <f>F9+F10+F11+F12+F13+F14+F15+F16+F17+F18+F19+F20</f>
        <v>60360</v>
      </c>
      <c r="I33" s="119" t="s">
        <v>35</v>
      </c>
      <c r="J33" s="15"/>
      <c r="K33" s="15"/>
      <c r="L33" s="95"/>
      <c r="M33" s="124">
        <f>T37</f>
        <v>99000</v>
      </c>
      <c r="N33" s="247" t="s">
        <v>243</v>
      </c>
      <c r="O33" s="248"/>
      <c r="P33" s="237">
        <f>ROUND((C9+C10+C11+C12+C13+C14+C15+C16+C17+C18+C19+C20)*40%,0)</f>
        <v>301800</v>
      </c>
      <c r="Q33" s="120" t="s">
        <v>46</v>
      </c>
      <c r="R33" s="172">
        <f>IF(Details!C29="Yes",S33,IF(Details!C29="No",0))</f>
        <v>0</v>
      </c>
      <c r="S33">
        <f>IF(H33&lt;M33,H33,IF(M33&lt;P33,M33,IF(P325&lt;H33,P33)))</f>
        <v>60360</v>
      </c>
    </row>
    <row r="34" spans="1:20" ht="18" customHeight="1">
      <c r="A34" s="322"/>
      <c r="B34" s="113" t="s">
        <v>107</v>
      </c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125">
        <f>L27</f>
        <v>2400</v>
      </c>
      <c r="R34" s="172">
        <f>R32-R33-Q34</f>
        <v>838895</v>
      </c>
      <c r="S34" s="6"/>
      <c r="T34" s="88">
        <f>H33</f>
        <v>60360</v>
      </c>
    </row>
    <row r="35" spans="1:20" ht="18" customHeight="1">
      <c r="A35" s="322"/>
      <c r="B35" s="113" t="s">
        <v>154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38">
        <v>0</v>
      </c>
      <c r="R35" s="173">
        <f>IF(Q35&gt;=200000,"200000",IF(Q35&lt;200000,Q35))</f>
        <v>0</v>
      </c>
      <c r="S35" s="6"/>
      <c r="T35">
        <f>Details!C30*12</f>
        <v>99000</v>
      </c>
    </row>
    <row r="36" spans="1:20" ht="18" customHeight="1">
      <c r="A36" s="322"/>
      <c r="B36" s="113" t="s">
        <v>108</v>
      </c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55"/>
      <c r="R36" s="172">
        <f>R34-R35</f>
        <v>838895</v>
      </c>
      <c r="S36" s="6"/>
      <c r="T36" s="88">
        <f>IF(T34-T35&lt;1,0,IF(T34-T35&gt;1,T34-T35))</f>
        <v>0</v>
      </c>
    </row>
    <row r="37" spans="1:20" ht="18" customHeight="1">
      <c r="A37" s="322"/>
      <c r="B37" s="113" t="s">
        <v>109</v>
      </c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55"/>
      <c r="R37" s="172"/>
      <c r="S37" s="6"/>
      <c r="T37" s="88">
        <f>IF(T35-T36&lt;1,0,IF(T35-T36&gt;1,T35-T36))</f>
        <v>99000</v>
      </c>
    </row>
    <row r="38" spans="1:20" ht="18" customHeight="1">
      <c r="A38" s="322"/>
      <c r="B38" s="96"/>
      <c r="C38" s="306">
        <v>0</v>
      </c>
      <c r="D38" s="307"/>
      <c r="E38" s="306">
        <v>0</v>
      </c>
      <c r="F38" s="307"/>
      <c r="G38" s="306">
        <v>0</v>
      </c>
      <c r="H38" s="308"/>
      <c r="I38" s="307"/>
      <c r="J38" s="248"/>
      <c r="K38" s="248" t="s">
        <v>91</v>
      </c>
      <c r="L38" s="309">
        <f>C38+E38+G38</f>
        <v>0</v>
      </c>
      <c r="M38" s="309"/>
      <c r="N38" s="248"/>
      <c r="O38" s="248"/>
      <c r="P38" s="248"/>
      <c r="Q38" s="55"/>
      <c r="R38" s="172">
        <f>R36+L38</f>
        <v>838895</v>
      </c>
      <c r="S38" s="6"/>
    </row>
    <row r="39" spans="1:20" ht="23.25">
      <c r="A39" s="322"/>
      <c r="B39" s="113" t="s">
        <v>155</v>
      </c>
      <c r="C39" s="244"/>
      <c r="D39" s="244"/>
      <c r="E39" s="241">
        <f>N27</f>
        <v>24000</v>
      </c>
      <c r="F39" s="122" t="s">
        <v>38</v>
      </c>
      <c r="G39" s="241">
        <f>O27</f>
        <v>15264</v>
      </c>
      <c r="H39" s="169" t="s">
        <v>156</v>
      </c>
      <c r="I39" s="241">
        <f>M27</f>
        <v>24000</v>
      </c>
      <c r="J39" s="129" t="s">
        <v>185</v>
      </c>
      <c r="K39" s="112">
        <f>Q27</f>
        <v>4320</v>
      </c>
      <c r="L39" s="288" t="s">
        <v>39</v>
      </c>
      <c r="M39" s="289"/>
      <c r="N39" s="242"/>
      <c r="O39" s="121" t="s">
        <v>37</v>
      </c>
      <c r="P39" s="248"/>
      <c r="Q39" s="242"/>
      <c r="R39" s="172"/>
      <c r="S39" s="6"/>
    </row>
    <row r="40" spans="1:20" ht="18" customHeight="1">
      <c r="A40" s="322"/>
      <c r="B40" s="96"/>
      <c r="C40" s="244"/>
      <c r="D40" s="122" t="s">
        <v>157</v>
      </c>
      <c r="E40" s="242">
        <v>0</v>
      </c>
      <c r="F40" s="327" t="s">
        <v>101</v>
      </c>
      <c r="G40" s="328"/>
      <c r="H40" s="329"/>
      <c r="I40" s="242"/>
      <c r="J40" s="290" t="s">
        <v>43</v>
      </c>
      <c r="K40" s="291"/>
      <c r="L40" s="291"/>
      <c r="M40" s="292"/>
      <c r="N40" s="242"/>
      <c r="O40" s="293" t="s">
        <v>186</v>
      </c>
      <c r="P40" s="294"/>
      <c r="Q40" s="242"/>
      <c r="R40" s="172"/>
      <c r="S40" s="128"/>
    </row>
    <row r="41" spans="1:20" ht="18" customHeight="1">
      <c r="A41" s="322"/>
      <c r="B41" s="96"/>
      <c r="C41" s="244"/>
      <c r="D41" s="244"/>
      <c r="E41" s="162"/>
      <c r="F41" s="71"/>
      <c r="G41" s="71"/>
      <c r="H41" s="71"/>
      <c r="I41" s="162"/>
      <c r="J41" s="245"/>
      <c r="K41" s="245"/>
      <c r="L41" s="245"/>
      <c r="M41" s="299" t="s">
        <v>27</v>
      </c>
      <c r="N41" s="299"/>
      <c r="O41" s="106"/>
      <c r="P41" s="300" t="s">
        <v>67</v>
      </c>
      <c r="Q41" s="300"/>
      <c r="R41" s="172"/>
      <c r="S41" s="6"/>
    </row>
    <row r="42" spans="1:20" ht="15" customHeight="1">
      <c r="A42" s="322"/>
      <c r="B42" s="96"/>
      <c r="C42" s="310" t="s">
        <v>184</v>
      </c>
      <c r="D42" s="310"/>
      <c r="E42" s="310"/>
      <c r="F42" s="310"/>
      <c r="G42" s="310"/>
      <c r="H42" s="310"/>
      <c r="I42" s="310"/>
      <c r="J42" s="310"/>
      <c r="K42" s="310"/>
      <c r="L42" s="311"/>
      <c r="M42" s="277">
        <f>E39+G39+I39+K39+N39+Q39+E40+I40+N40+Q40</f>
        <v>67584</v>
      </c>
      <c r="N42" s="277"/>
      <c r="O42" s="123"/>
      <c r="P42" s="318">
        <f>IF(M42&gt;=150000,"150000",IF(M42&gt;1,M42,IF(M42&lt;1,"0")))</f>
        <v>67584</v>
      </c>
      <c r="Q42" s="319"/>
      <c r="R42" s="305">
        <f>P43</f>
        <v>67584</v>
      </c>
      <c r="S42" s="6"/>
    </row>
    <row r="43" spans="1:20" ht="15" customHeight="1">
      <c r="A43" s="322"/>
      <c r="B43" s="23"/>
      <c r="C43" s="116" t="s">
        <v>183</v>
      </c>
      <c r="D43" s="116"/>
      <c r="E43" s="22"/>
      <c r="F43" s="22"/>
      <c r="G43" s="22"/>
      <c r="H43" s="22"/>
      <c r="I43" s="22"/>
      <c r="J43" s="49"/>
      <c r="K43" s="248"/>
      <c r="L43" s="248"/>
      <c r="M43" s="295">
        <v>0</v>
      </c>
      <c r="N43" s="296"/>
      <c r="O43" s="247"/>
      <c r="P43" s="312">
        <f>IF(P42+M43+M44+M45&gt;=200000,"200000",IF(P42+M43+M44++M45&lt;=200000,P42+M43+M44+M45))</f>
        <v>67584</v>
      </c>
      <c r="Q43" s="313"/>
      <c r="R43" s="305"/>
      <c r="S43" s="35"/>
      <c r="T43">
        <f>Details!C30*12</f>
        <v>99000</v>
      </c>
    </row>
    <row r="44" spans="1:20" ht="16.5" customHeight="1">
      <c r="A44" s="322"/>
      <c r="B44" s="96"/>
      <c r="C44" s="114" t="s">
        <v>159</v>
      </c>
      <c r="D44" s="114"/>
      <c r="E44" s="94"/>
      <c r="F44" s="94"/>
      <c r="G44" s="94"/>
      <c r="H44" s="94"/>
      <c r="I44" s="94"/>
      <c r="J44" s="49"/>
      <c r="K44" s="248"/>
      <c r="L44" s="248"/>
      <c r="M44" s="295">
        <v>0</v>
      </c>
      <c r="N44" s="296"/>
      <c r="O44" s="247"/>
      <c r="P44" s="314"/>
      <c r="Q44" s="315"/>
      <c r="R44" s="305"/>
      <c r="S44" s="35">
        <f>IF(Details!C27="Yes",38400,IF(Details!C27="No",0))</f>
        <v>0</v>
      </c>
    </row>
    <row r="45" spans="1:20" ht="17.25" customHeight="1">
      <c r="A45" s="322"/>
      <c r="B45" s="96"/>
      <c r="C45" s="114" t="s">
        <v>160</v>
      </c>
      <c r="D45" s="114"/>
      <c r="E45" s="94"/>
      <c r="F45" s="94"/>
      <c r="G45" s="94"/>
      <c r="H45" s="94"/>
      <c r="I45" s="94"/>
      <c r="J45" s="49"/>
      <c r="K45" s="248"/>
      <c r="L45" s="248"/>
      <c r="M45" s="297">
        <f>IF(Details!C21="Yes",P27,IF(Details!C21="No",0))</f>
        <v>0</v>
      </c>
      <c r="N45" s="298"/>
      <c r="O45" s="247"/>
      <c r="P45" s="316"/>
      <c r="Q45" s="317"/>
      <c r="R45" s="305"/>
      <c r="T45" s="3">
        <f>ROUND((C9+C10+C11+C12+C13+C14+C15+C16+C17+C18+C19+C20+E9+E10+E11+E12+E13+E14+E15+E16+E17+E18+E19+E20)*10%,0)</f>
        <v>81685</v>
      </c>
    </row>
    <row r="46" spans="1:20" ht="17.25" customHeight="1">
      <c r="A46" s="322"/>
      <c r="B46" s="96"/>
      <c r="C46" s="114" t="s">
        <v>161</v>
      </c>
      <c r="D46" s="117"/>
      <c r="E46" s="31"/>
      <c r="F46" s="31"/>
      <c r="G46" s="31"/>
      <c r="H46" s="31"/>
      <c r="I46" s="31"/>
      <c r="J46" s="108"/>
      <c r="K46" s="248"/>
      <c r="L46" s="248"/>
      <c r="M46" s="278">
        <v>0</v>
      </c>
      <c r="N46" s="278"/>
      <c r="O46" s="247"/>
      <c r="P46" s="286">
        <f>IF(M46&gt;=75000,"75000",IF(M46&lt;75000,M46,IF(M46=0,"0")))</f>
        <v>0</v>
      </c>
      <c r="Q46" s="287"/>
      <c r="R46" s="173">
        <f t="shared" ref="R46:R57" si="7">P46</f>
        <v>0</v>
      </c>
      <c r="T46" s="3"/>
    </row>
    <row r="47" spans="1:20" ht="17.25" customHeight="1">
      <c r="A47" s="322"/>
      <c r="B47" s="96"/>
      <c r="C47" s="114" t="s">
        <v>162</v>
      </c>
      <c r="D47" s="115"/>
      <c r="E47" s="27"/>
      <c r="F47" s="27"/>
      <c r="G47" s="27"/>
      <c r="H47" s="27"/>
      <c r="I47" s="27"/>
      <c r="J47" s="49"/>
      <c r="K47" s="248"/>
      <c r="L47" s="248"/>
      <c r="M47" s="278">
        <v>0</v>
      </c>
      <c r="N47" s="278"/>
      <c r="O47" s="247"/>
      <c r="P47" s="286">
        <f>IF(M47&gt;=25000,"25000",IF(M47&lt;25000,M47,IF(M47=0,"0")))</f>
        <v>0</v>
      </c>
      <c r="Q47" s="287"/>
      <c r="R47" s="173">
        <f t="shared" si="7"/>
        <v>0</v>
      </c>
      <c r="T47" s="3"/>
    </row>
    <row r="48" spans="1:20" ht="14.25" customHeight="1">
      <c r="A48" s="322"/>
      <c r="B48" s="96"/>
      <c r="C48" s="114" t="s">
        <v>171</v>
      </c>
      <c r="D48" s="117"/>
      <c r="E48" s="31"/>
      <c r="F48" s="31"/>
      <c r="G48" s="280" t="s">
        <v>200</v>
      </c>
      <c r="H48" s="280"/>
      <c r="I48" s="280"/>
      <c r="J48" s="280"/>
      <c r="K48" s="280"/>
      <c r="L48" s="281"/>
      <c r="M48" s="278">
        <v>0</v>
      </c>
      <c r="N48" s="278"/>
      <c r="O48" s="247"/>
      <c r="P48" s="286">
        <f>IF(M48&gt;=S48,S48,IF(M48&lt;S48,M48))</f>
        <v>0</v>
      </c>
      <c r="Q48" s="287"/>
      <c r="R48" s="173">
        <f t="shared" si="7"/>
        <v>0</v>
      </c>
      <c r="S48">
        <f>IF(G48="Select",0,IF(G48="Self and Family",25000,IF(G48="Prents",30000,IF(G48="Prents(senior citizen)",50000,IF(G48="Self and family including parents",55000,IF(G48="Self and family including senior citizen parents",60000))))))</f>
        <v>60000</v>
      </c>
      <c r="T48">
        <f>T43-T45</f>
        <v>17315</v>
      </c>
    </row>
    <row r="49" spans="1:21" ht="17.25" customHeight="1">
      <c r="A49" s="322"/>
      <c r="B49" s="96"/>
      <c r="C49" s="114" t="s">
        <v>163</v>
      </c>
      <c r="D49" s="116"/>
      <c r="E49" s="22"/>
      <c r="F49" s="22"/>
      <c r="G49" s="22"/>
      <c r="H49" s="279" t="s">
        <v>189</v>
      </c>
      <c r="I49" s="279"/>
      <c r="J49" s="279"/>
      <c r="K49" s="279"/>
      <c r="L49" s="15"/>
      <c r="M49" s="278">
        <v>0</v>
      </c>
      <c r="N49" s="278"/>
      <c r="O49" s="247"/>
      <c r="P49" s="286">
        <f>IF(M49&gt;=S49,S49,IF(M49&lt;S49,M49))</f>
        <v>0</v>
      </c>
      <c r="Q49" s="287"/>
      <c r="R49" s="173">
        <f t="shared" si="7"/>
        <v>0</v>
      </c>
      <c r="S49" s="49">
        <f>IF(H49="Select",0,IF(H49="Dependent person with disability",75000,IF(H49="Dependent person with sever disability",125000)))</f>
        <v>75000</v>
      </c>
      <c r="T49" s="27">
        <v>0</v>
      </c>
    </row>
    <row r="50" spans="1:21" ht="15" customHeight="1">
      <c r="A50" s="322"/>
      <c r="B50" s="23"/>
      <c r="C50" s="116" t="s">
        <v>173</v>
      </c>
      <c r="D50" s="116"/>
      <c r="E50" s="22"/>
      <c r="F50" s="15"/>
      <c r="G50" s="15"/>
      <c r="H50" s="279" t="s">
        <v>199</v>
      </c>
      <c r="I50" s="279"/>
      <c r="J50" s="279"/>
      <c r="K50" s="279"/>
      <c r="L50" s="248"/>
      <c r="M50" s="278">
        <v>0</v>
      </c>
      <c r="N50" s="278"/>
      <c r="O50" s="247"/>
      <c r="P50" s="286">
        <f>IF(M50&gt;=S50,S50,IF(M50&lt;S50,M50))</f>
        <v>0</v>
      </c>
      <c r="Q50" s="287"/>
      <c r="R50" s="173">
        <f>P50</f>
        <v>0</v>
      </c>
      <c r="S50">
        <f>IF(H50="Select",0,IF(H50="Self or dependent",40000,IF(H50="Senior citizen Self or dependent",60000,IF(H50="Super senior citizen Self or dependent",80000))))</f>
        <v>40000</v>
      </c>
    </row>
    <row r="51" spans="1:21" ht="13.5" customHeight="1">
      <c r="A51" s="322"/>
      <c r="B51" s="96"/>
      <c r="C51" s="114" t="s">
        <v>164</v>
      </c>
      <c r="D51" s="114"/>
      <c r="E51" s="94"/>
      <c r="F51" s="15"/>
      <c r="G51" s="15"/>
      <c r="H51" s="15"/>
      <c r="I51" s="248"/>
      <c r="J51" s="95"/>
      <c r="K51" s="248"/>
      <c r="L51" s="248"/>
      <c r="M51" s="278">
        <v>0</v>
      </c>
      <c r="N51" s="278"/>
      <c r="O51" s="247"/>
      <c r="P51" s="286">
        <f>IF(M51&gt;=R28,R28,IF(M51&lt;R28,M51))</f>
        <v>0</v>
      </c>
      <c r="Q51" s="287"/>
      <c r="R51" s="173">
        <f t="shared" si="7"/>
        <v>0</v>
      </c>
    </row>
    <row r="52" spans="1:21" ht="17.25" hidden="1" customHeight="1">
      <c r="A52" s="322"/>
      <c r="B52" s="96"/>
      <c r="C52" s="114" t="s">
        <v>165</v>
      </c>
      <c r="D52" s="114"/>
      <c r="E52" s="94"/>
      <c r="F52" s="15"/>
      <c r="G52" s="15"/>
      <c r="H52" s="15"/>
      <c r="I52" s="248"/>
      <c r="J52" s="95"/>
      <c r="K52" s="248"/>
      <c r="L52" s="248"/>
      <c r="M52" s="278">
        <v>0</v>
      </c>
      <c r="N52" s="278"/>
      <c r="O52" s="247"/>
      <c r="P52" s="286" t="str">
        <f>IF(M52&gt;=50000,"50000",IF(M52&gt;1,M52,IF(M52&lt;1,"0")))</f>
        <v>0</v>
      </c>
      <c r="Q52" s="287"/>
      <c r="R52" s="173" t="str">
        <f t="shared" si="7"/>
        <v>0</v>
      </c>
    </row>
    <row r="53" spans="1:21" ht="14.25" customHeight="1">
      <c r="A53" s="322"/>
      <c r="B53" s="96"/>
      <c r="C53" s="114" t="s">
        <v>203</v>
      </c>
      <c r="D53" s="114"/>
      <c r="E53" s="94"/>
      <c r="F53" s="15"/>
      <c r="G53" s="282"/>
      <c r="H53" s="282"/>
      <c r="I53" s="282"/>
      <c r="J53" s="282"/>
      <c r="K53" s="248"/>
      <c r="L53" s="248"/>
      <c r="M53" s="278">
        <v>0</v>
      </c>
      <c r="N53" s="278"/>
      <c r="O53" s="247"/>
      <c r="P53" s="286">
        <f>M53</f>
        <v>0</v>
      </c>
      <c r="Q53" s="287"/>
      <c r="R53" s="173">
        <f t="shared" si="7"/>
        <v>0</v>
      </c>
      <c r="S53" s="88">
        <f>ROUND(K14/30,0)+M53</f>
        <v>2389</v>
      </c>
    </row>
    <row r="54" spans="1:21" ht="16.5" hidden="1" customHeight="1">
      <c r="A54" s="322"/>
      <c r="B54" s="96"/>
      <c r="C54" s="114" t="s">
        <v>167</v>
      </c>
      <c r="D54" s="114"/>
      <c r="E54" s="94"/>
      <c r="F54" s="15"/>
      <c r="G54" s="15"/>
      <c r="H54" s="15"/>
      <c r="I54" s="248"/>
      <c r="J54" s="49"/>
      <c r="K54" s="248"/>
      <c r="L54" s="248"/>
      <c r="M54" s="278">
        <v>0</v>
      </c>
      <c r="N54" s="278"/>
      <c r="O54" s="247"/>
      <c r="P54" s="286" t="str">
        <f>IF(M54&gt;=60000,"60000",IF(M54&gt;1,M54,IF(M54&lt;1,"0")))</f>
        <v>0</v>
      </c>
      <c r="Q54" s="287"/>
      <c r="R54" s="173" t="str">
        <f t="shared" si="7"/>
        <v>0</v>
      </c>
    </row>
    <row r="55" spans="1:21" ht="15" customHeight="1">
      <c r="A55" s="322"/>
      <c r="B55" s="96"/>
      <c r="C55" s="114" t="s">
        <v>168</v>
      </c>
      <c r="D55" s="114"/>
      <c r="E55" s="94"/>
      <c r="F55" s="15"/>
      <c r="G55" s="15"/>
      <c r="H55" s="15"/>
      <c r="I55" s="248"/>
      <c r="J55" s="49"/>
      <c r="K55" s="248"/>
      <c r="L55" s="248"/>
      <c r="M55" s="278">
        <v>0</v>
      </c>
      <c r="N55" s="278"/>
      <c r="O55" s="247"/>
      <c r="P55" s="286">
        <f>IF(M55&gt;=R28,R28,IF(M55&lt;R28,M55))</f>
        <v>0</v>
      </c>
      <c r="Q55" s="287"/>
      <c r="R55" s="173">
        <f t="shared" si="7"/>
        <v>0</v>
      </c>
    </row>
    <row r="56" spans="1:21" ht="15" customHeight="1">
      <c r="A56" s="322"/>
      <c r="B56" s="96"/>
      <c r="C56" s="114" t="s">
        <v>169</v>
      </c>
      <c r="D56" s="114"/>
      <c r="E56" s="94"/>
      <c r="F56" s="15"/>
      <c r="G56" s="15"/>
      <c r="H56" s="15"/>
      <c r="I56" s="248"/>
      <c r="J56" s="49"/>
      <c r="K56" s="248"/>
      <c r="L56" s="248"/>
      <c r="M56" s="278">
        <v>0</v>
      </c>
      <c r="N56" s="278"/>
      <c r="O56" s="247"/>
      <c r="P56" s="286">
        <f>IF(M56&gt;=R28,R28,IF(M56&lt;R28,M56))</f>
        <v>0</v>
      </c>
      <c r="Q56" s="287"/>
      <c r="R56" s="173">
        <f t="shared" si="7"/>
        <v>0</v>
      </c>
    </row>
    <row r="57" spans="1:21" ht="15" customHeight="1">
      <c r="A57" s="322"/>
      <c r="B57" s="96"/>
      <c r="C57" s="114" t="s">
        <v>170</v>
      </c>
      <c r="D57" s="114"/>
      <c r="E57" s="94"/>
      <c r="F57" s="15"/>
      <c r="G57" s="15"/>
      <c r="H57" s="15"/>
      <c r="I57" s="283" t="s">
        <v>204</v>
      </c>
      <c r="J57" s="283"/>
      <c r="K57" s="248"/>
      <c r="L57" s="248"/>
      <c r="M57" s="277">
        <f>L38</f>
        <v>0</v>
      </c>
      <c r="N57" s="277"/>
      <c r="O57" s="247"/>
      <c r="P57" s="286">
        <f>S57</f>
        <v>0</v>
      </c>
      <c r="Q57" s="287"/>
      <c r="R57" s="173">
        <f t="shared" si="7"/>
        <v>0</v>
      </c>
      <c r="S57">
        <f>IF(I57="Select",0,IF(I57="Citizen",10000,IF(I57="Senior Citizen",50000)))</f>
        <v>0</v>
      </c>
    </row>
    <row r="58" spans="1:21" ht="15.75" customHeight="1">
      <c r="A58" s="322"/>
      <c r="B58" s="96"/>
      <c r="C58" s="119" t="s">
        <v>172</v>
      </c>
      <c r="D58" s="114"/>
      <c r="E58" s="94"/>
      <c r="F58" s="342" t="s">
        <v>201</v>
      </c>
      <c r="G58" s="342"/>
      <c r="H58" s="342"/>
      <c r="I58" s="15"/>
      <c r="J58" s="49"/>
      <c r="K58" s="248"/>
      <c r="L58" s="248"/>
      <c r="M58" s="295">
        <v>0</v>
      </c>
      <c r="N58" s="296"/>
      <c r="O58" s="247"/>
      <c r="P58" s="286">
        <f>IF(Details!C27="Yes",S58,IF(Details!C27="No",0))</f>
        <v>0</v>
      </c>
      <c r="Q58" s="287"/>
      <c r="R58" s="173">
        <f>IF(Details!C27="Yes",P58,IF(Details!C27="No",0))</f>
        <v>0</v>
      </c>
      <c r="S58">
        <f>IF(F58="Select",0,IF(F58="Self with sever Disability",125000,IF(F58="Self with Disability",75000)))</f>
        <v>75000</v>
      </c>
    </row>
    <row r="59" spans="1:21" ht="15.75" customHeight="1">
      <c r="A59" s="322"/>
      <c r="B59" s="96"/>
      <c r="C59" s="119" t="s">
        <v>187</v>
      </c>
      <c r="D59" s="114"/>
      <c r="E59" s="94"/>
      <c r="F59" s="168"/>
      <c r="G59" s="168"/>
      <c r="H59" s="110"/>
      <c r="I59" s="15"/>
      <c r="J59" s="49"/>
      <c r="K59" s="248"/>
      <c r="L59" s="248"/>
      <c r="M59" s="343">
        <f>H27</f>
        <v>0</v>
      </c>
      <c r="N59" s="344"/>
      <c r="O59" s="130"/>
      <c r="P59" s="345" t="str">
        <f>IF(M59&gt;=38400,"38400",IF(M59&gt;1,M59,IF(M59&lt;1,"0")))</f>
        <v>0</v>
      </c>
      <c r="Q59" s="346"/>
      <c r="R59" s="173" t="str">
        <f>P59</f>
        <v>0</v>
      </c>
    </row>
    <row r="60" spans="1:21" ht="17.25" customHeight="1">
      <c r="A60" s="322"/>
      <c r="B60" s="109"/>
      <c r="C60" s="94"/>
      <c r="D60" s="94"/>
      <c r="E60" s="94"/>
      <c r="F60" s="248"/>
      <c r="G60" s="248"/>
      <c r="H60" s="248"/>
      <c r="I60" s="248"/>
      <c r="J60" s="49"/>
      <c r="K60" s="248"/>
      <c r="L60" s="248"/>
      <c r="M60" s="320" t="s">
        <v>158</v>
      </c>
      <c r="N60" s="320"/>
      <c r="O60" s="320"/>
      <c r="P60" s="320"/>
      <c r="Q60" s="320"/>
      <c r="R60" s="193">
        <f>R42+R43+R44+R45+R46+R47+R48+R49+R50+R51+R52+R53+R54+R55+R56+R57+R58+R59</f>
        <v>67584</v>
      </c>
      <c r="S60" s="84">
        <f>P60+J61</f>
        <v>0</v>
      </c>
      <c r="T60" s="5"/>
    </row>
    <row r="61" spans="1:21" ht="20.25" customHeight="1">
      <c r="A61" s="322"/>
      <c r="B61" s="113" t="s">
        <v>174</v>
      </c>
      <c r="C61" s="114"/>
      <c r="D61" s="114"/>
      <c r="E61" s="114"/>
      <c r="F61" s="247"/>
      <c r="G61" s="247"/>
      <c r="H61" s="247"/>
      <c r="I61" s="45"/>
      <c r="J61" s="49"/>
      <c r="K61" s="45"/>
      <c r="L61" s="45"/>
      <c r="M61" s="45"/>
      <c r="N61" s="248"/>
      <c r="O61" s="248"/>
      <c r="P61" s="248"/>
      <c r="Q61" s="86" t="str">
        <f>IF(S60&lt;1,"0",IF(S60&gt;=200000,"200000",IF(S60&lt;200000,S60)))</f>
        <v>0</v>
      </c>
      <c r="R61" s="252">
        <f>IF(S62&lt;1,"0",IF(S62&gt;0,S62))</f>
        <v>771311</v>
      </c>
      <c r="S61" s="84">
        <f>P61+J62</f>
        <v>0</v>
      </c>
      <c r="T61" s="85"/>
    </row>
    <row r="62" spans="1:21" ht="20.25" customHeight="1">
      <c r="A62" s="322"/>
      <c r="B62" s="113" t="s">
        <v>175</v>
      </c>
      <c r="C62" s="247"/>
      <c r="D62" s="247"/>
      <c r="E62" s="247"/>
      <c r="F62" s="247"/>
      <c r="G62" s="247"/>
      <c r="H62" s="247"/>
      <c r="I62" s="45"/>
      <c r="J62" s="45"/>
      <c r="K62" s="45"/>
      <c r="L62" s="45"/>
      <c r="M62" s="45"/>
      <c r="N62" s="248"/>
      <c r="O62" s="248"/>
      <c r="P62" s="248"/>
      <c r="Q62" s="83"/>
      <c r="R62" s="252">
        <f>IF(S63&lt;1,"0",IF(S63&gt;1,S63))</f>
        <v>66762</v>
      </c>
      <c r="S62" s="88">
        <f>R38-R60</f>
        <v>771311</v>
      </c>
    </row>
    <row r="63" spans="1:21" ht="20.25" customHeight="1">
      <c r="A63" s="322"/>
      <c r="B63" s="113" t="s">
        <v>176</v>
      </c>
      <c r="C63" s="247"/>
      <c r="D63" s="247"/>
      <c r="E63" s="247"/>
      <c r="F63" s="247"/>
      <c r="G63" s="247"/>
      <c r="H63" s="247"/>
      <c r="I63" s="45"/>
      <c r="J63" s="45"/>
      <c r="K63" s="45"/>
      <c r="L63" s="45"/>
      <c r="M63" s="45"/>
      <c r="N63" s="248"/>
      <c r="O63" s="248"/>
      <c r="P63" s="248"/>
      <c r="Q63" s="83"/>
      <c r="R63" s="252">
        <f>S32</f>
        <v>0</v>
      </c>
      <c r="S63">
        <f>ROUND(IF(R61&gt;=1000000,112500+(R61-1000000)*30%,IF(R61&gt;=500000,12500+(R61-500000)*20%,IF(R61&gt;=250000,(R61-250000)*5%))),0)</f>
        <v>66762</v>
      </c>
    </row>
    <row r="64" spans="1:21" ht="18.75" customHeight="1">
      <c r="A64" s="322"/>
      <c r="B64" s="113" t="s">
        <v>196</v>
      </c>
      <c r="C64" s="247"/>
      <c r="D64" s="247"/>
      <c r="E64" s="247"/>
      <c r="F64" s="247"/>
      <c r="G64" s="247"/>
      <c r="H64" s="247"/>
      <c r="I64" s="248"/>
      <c r="J64" s="248"/>
      <c r="K64" s="248"/>
      <c r="L64" s="248"/>
      <c r="M64" s="248"/>
      <c r="N64" s="248"/>
      <c r="O64" s="248"/>
      <c r="P64" s="248"/>
      <c r="Q64" s="55"/>
      <c r="R64" s="252">
        <f>IF(S64&lt;1,"0",IF(S64&gt;=1,S64))</f>
        <v>66762</v>
      </c>
      <c r="S64" s="84">
        <f>R62-R63</f>
        <v>66762</v>
      </c>
      <c r="U64" s="66"/>
    </row>
    <row r="65" spans="1:21" ht="18.75" customHeight="1">
      <c r="A65" s="322"/>
      <c r="B65" s="113" t="s">
        <v>195</v>
      </c>
      <c r="C65" s="247"/>
      <c r="D65" s="247"/>
      <c r="E65" s="247"/>
      <c r="F65" s="247"/>
      <c r="G65" s="247"/>
      <c r="H65" s="247"/>
      <c r="I65" s="248"/>
      <c r="J65" s="248"/>
      <c r="K65" s="248"/>
      <c r="L65" s="248"/>
      <c r="M65" s="248"/>
      <c r="N65" s="248"/>
      <c r="O65" s="248"/>
      <c r="P65" s="248"/>
      <c r="Q65" s="55"/>
      <c r="R65" s="252">
        <f>ROUND(IF(R61&lt;=250000,"0",IF(R61&lt;=500000,(R61-250000)*5%,IF(R61&lt;=500000,"12500",IF(R61&gt;=500000,"0")))),0)</f>
        <v>0</v>
      </c>
      <c r="S65" s="84"/>
      <c r="U65" s="66"/>
    </row>
    <row r="66" spans="1:21" ht="18.75" customHeight="1">
      <c r="A66" s="322"/>
      <c r="B66" s="113" t="s">
        <v>197</v>
      </c>
      <c r="C66" s="247"/>
      <c r="D66" s="247"/>
      <c r="E66" s="247"/>
      <c r="F66" s="247"/>
      <c r="G66" s="247"/>
      <c r="H66" s="247"/>
      <c r="I66" s="248"/>
      <c r="J66" s="248"/>
      <c r="K66" s="248"/>
      <c r="L66" s="248"/>
      <c r="M66" s="248"/>
      <c r="N66" s="248"/>
      <c r="O66" s="248"/>
      <c r="P66" s="248"/>
      <c r="Q66" s="55"/>
      <c r="R66" s="253">
        <f>R64-R65</f>
        <v>66762</v>
      </c>
      <c r="S66" s="84"/>
      <c r="U66" s="66"/>
    </row>
    <row r="67" spans="1:21" ht="17.25" customHeight="1">
      <c r="A67" s="322"/>
      <c r="B67" s="113" t="s">
        <v>177</v>
      </c>
      <c r="C67" s="247"/>
      <c r="D67" s="247"/>
      <c r="E67" s="247"/>
      <c r="F67" s="247"/>
      <c r="G67" s="247"/>
      <c r="H67" s="247"/>
      <c r="I67" s="248"/>
      <c r="J67" s="248"/>
      <c r="K67" s="248"/>
      <c r="L67" s="248"/>
      <c r="M67" s="248"/>
      <c r="N67" s="248"/>
      <c r="O67" s="248"/>
      <c r="P67" s="248"/>
      <c r="Q67" s="55"/>
      <c r="R67" s="254">
        <f>ROUND(R66*4%,0)</f>
        <v>2670</v>
      </c>
    </row>
    <row r="68" spans="1:21" ht="17.25" customHeight="1">
      <c r="A68" s="322"/>
      <c r="B68" s="113" t="s">
        <v>178</v>
      </c>
      <c r="C68" s="247"/>
      <c r="D68" s="247"/>
      <c r="E68" s="247"/>
      <c r="F68" s="247"/>
      <c r="G68" s="247"/>
      <c r="H68" s="247"/>
      <c r="I68" s="248"/>
      <c r="J68" s="248"/>
      <c r="K68" s="248"/>
      <c r="L68" s="248"/>
      <c r="M68" s="248"/>
      <c r="N68" s="248"/>
      <c r="O68" s="248"/>
      <c r="P68" s="248"/>
      <c r="Q68" s="55"/>
      <c r="R68" s="255">
        <v>0</v>
      </c>
    </row>
    <row r="69" spans="1:21" ht="17.25" customHeight="1">
      <c r="A69" s="322"/>
      <c r="B69" s="113" t="s">
        <v>179</v>
      </c>
      <c r="C69" s="247"/>
      <c r="D69" s="247"/>
      <c r="E69" s="247"/>
      <c r="F69" s="247"/>
      <c r="G69" s="247"/>
      <c r="H69" s="247"/>
      <c r="I69" s="248"/>
      <c r="J69" s="248"/>
      <c r="K69" s="248"/>
      <c r="L69" s="248"/>
      <c r="M69" s="248"/>
      <c r="N69" s="248"/>
      <c r="O69" s="248"/>
      <c r="P69" s="248"/>
      <c r="Q69" s="55"/>
      <c r="R69" s="254">
        <f>R66+R67-R68</f>
        <v>69432</v>
      </c>
    </row>
    <row r="70" spans="1:21" ht="17.25" customHeight="1">
      <c r="A70" s="322"/>
      <c r="B70" s="113" t="s">
        <v>180</v>
      </c>
      <c r="C70" s="247"/>
      <c r="D70" s="247"/>
      <c r="E70" s="247"/>
      <c r="F70" s="247"/>
      <c r="G70" s="247"/>
      <c r="H70" s="247"/>
      <c r="I70" s="248"/>
      <c r="J70" s="248"/>
      <c r="K70" s="248"/>
      <c r="L70" s="248"/>
      <c r="M70" s="248"/>
      <c r="N70" s="248"/>
      <c r="O70" s="248"/>
      <c r="P70" s="248"/>
      <c r="Q70" s="55"/>
      <c r="R70" s="254">
        <f>R27</f>
        <v>0</v>
      </c>
    </row>
    <row r="71" spans="1:21" ht="19.5" customHeight="1">
      <c r="A71" s="322"/>
      <c r="B71" s="113" t="s">
        <v>181</v>
      </c>
      <c r="C71" s="247"/>
      <c r="D71" s="247"/>
      <c r="E71" s="247"/>
      <c r="F71" s="247"/>
      <c r="G71" s="247"/>
      <c r="H71" s="247"/>
      <c r="I71" s="248"/>
      <c r="J71" s="248"/>
      <c r="K71" s="248"/>
      <c r="L71" s="248"/>
      <c r="M71" s="248"/>
      <c r="N71" s="248"/>
      <c r="O71" s="248"/>
      <c r="P71" s="248"/>
      <c r="Q71" s="55"/>
      <c r="R71" s="254">
        <f>R69-R70</f>
        <v>69432</v>
      </c>
    </row>
    <row r="72" spans="1:21" ht="16.5" customHeight="1">
      <c r="A72" s="322"/>
      <c r="B72" s="113" t="s">
        <v>182</v>
      </c>
      <c r="C72" s="247"/>
      <c r="D72" s="247"/>
      <c r="E72" s="174" t="e">
        <f>SpellNumber(R69)</f>
        <v>#VALUE!</v>
      </c>
      <c r="F72" s="115"/>
      <c r="G72" s="115"/>
      <c r="H72" s="115"/>
      <c r="I72" s="27"/>
      <c r="J72" s="27"/>
      <c r="K72" s="27"/>
      <c r="L72" s="248"/>
      <c r="M72" s="248"/>
      <c r="N72" s="248"/>
      <c r="O72" s="248"/>
      <c r="P72" s="248"/>
      <c r="Q72" s="55"/>
      <c r="R72" s="126"/>
      <c r="T72">
        <v>10</v>
      </c>
    </row>
    <row r="73" spans="1:21" ht="18.75" customHeight="1">
      <c r="A73" s="322"/>
      <c r="B73" s="13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7"/>
    </row>
    <row r="74" spans="1:21" ht="15" customHeight="1">
      <c r="A74" s="322"/>
      <c r="B74" s="13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7"/>
    </row>
    <row r="75" spans="1:21" ht="15.75" customHeight="1">
      <c r="A75" s="322"/>
      <c r="B75" s="13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7"/>
    </row>
    <row r="76" spans="1:21" ht="15.75" customHeight="1">
      <c r="A76" s="322"/>
      <c r="B76" s="13"/>
      <c r="C76" s="12"/>
      <c r="D76" s="12"/>
      <c r="E76" s="12"/>
      <c r="F76" s="12"/>
      <c r="G76" s="12"/>
      <c r="H76" s="15" t="s">
        <v>0</v>
      </c>
      <c r="I76" s="12"/>
      <c r="J76" s="12"/>
      <c r="K76" s="12"/>
      <c r="L76" s="12"/>
      <c r="M76" s="12"/>
      <c r="N76" s="15" t="s">
        <v>82</v>
      </c>
      <c r="O76" s="12"/>
      <c r="P76" s="12"/>
      <c r="Q76" s="12"/>
      <c r="R76" s="127"/>
    </row>
    <row r="77" spans="1:21" ht="17.25" customHeight="1">
      <c r="A77" s="322"/>
      <c r="B77" s="14"/>
      <c r="C77" s="15" t="s">
        <v>79</v>
      </c>
      <c r="D77" s="326" t="s">
        <v>80</v>
      </c>
      <c r="E77" s="326"/>
      <c r="F77" s="15"/>
      <c r="G77" s="15"/>
      <c r="H77" s="194" t="str">
        <f>C3</f>
        <v>ಶ್ರೀನಿವಾಸ ಹೆಚ್.ಟಿ.</v>
      </c>
      <c r="I77" s="15"/>
      <c r="J77" s="15"/>
      <c r="K77" s="15"/>
      <c r="L77" s="15"/>
      <c r="M77" s="15"/>
      <c r="N77" s="194" t="str">
        <f>Details!C7</f>
        <v>NANJUSNDAIAH</v>
      </c>
      <c r="O77" s="15"/>
      <c r="P77" s="15"/>
      <c r="Q77" s="12"/>
      <c r="R77" s="127"/>
    </row>
    <row r="78" spans="1:21" ht="15" customHeight="1" thickBot="1">
      <c r="A78" s="322"/>
      <c r="B78" s="16"/>
      <c r="C78" s="17" t="s">
        <v>34</v>
      </c>
      <c r="D78" s="325">
        <f ca="1">TODAY()</f>
        <v>43851</v>
      </c>
      <c r="E78" s="324"/>
      <c r="F78" s="47"/>
      <c r="G78" s="160"/>
      <c r="H78" s="195" t="str">
        <f>K3</f>
        <v>ದೈಹಿಕ ಶಿಕ್ಷಣ ಶಿಕ್ಷಕರು(ಗ್ರೇಡ್-1)</v>
      </c>
      <c r="I78" s="17"/>
      <c r="J78" s="17"/>
      <c r="K78" s="17"/>
      <c r="L78" s="17"/>
      <c r="M78" s="48"/>
      <c r="N78" s="195" t="str">
        <f>Details!C8</f>
        <v>SENIOR ASSISTANT TEACHER</v>
      </c>
      <c r="O78" s="17"/>
      <c r="P78" s="48"/>
      <c r="Q78" s="18"/>
      <c r="R78" s="51"/>
    </row>
    <row r="79" spans="1:21" ht="15.75" customHeight="1"/>
  </sheetData>
  <sheetProtection password="EC00" sheet="1" objects="1" scenarios="1" selectLockedCells="1"/>
  <mergeCells count="68">
    <mergeCell ref="F58:H58"/>
    <mergeCell ref="M58:N58"/>
    <mergeCell ref="M59:N59"/>
    <mergeCell ref="P50:Q50"/>
    <mergeCell ref="P51:Q51"/>
    <mergeCell ref="P52:Q52"/>
    <mergeCell ref="P53:Q53"/>
    <mergeCell ref="P54:Q54"/>
    <mergeCell ref="P55:Q55"/>
    <mergeCell ref="P57:Q57"/>
    <mergeCell ref="P59:Q59"/>
    <mergeCell ref="M53:N53"/>
    <mergeCell ref="M54:N54"/>
    <mergeCell ref="M51:N51"/>
    <mergeCell ref="M52:N52"/>
    <mergeCell ref="P58:Q58"/>
    <mergeCell ref="P46:Q46"/>
    <mergeCell ref="P47:Q47"/>
    <mergeCell ref="P48:Q48"/>
    <mergeCell ref="M60:Q60"/>
    <mergeCell ref="A2:A78"/>
    <mergeCell ref="B5:C5"/>
    <mergeCell ref="D78:E78"/>
    <mergeCell ref="D77:E77"/>
    <mergeCell ref="F40:H40"/>
    <mergeCell ref="B2:R2"/>
    <mergeCell ref="B4:C4"/>
    <mergeCell ref="O4:R4"/>
    <mergeCell ref="B7:B8"/>
    <mergeCell ref="C7:K7"/>
    <mergeCell ref="L7:R7"/>
    <mergeCell ref="O3:P3"/>
    <mergeCell ref="J5:M5"/>
    <mergeCell ref="O5:R5"/>
    <mergeCell ref="R42:R45"/>
    <mergeCell ref="E38:F38"/>
    <mergeCell ref="C38:D38"/>
    <mergeCell ref="G38:I38"/>
    <mergeCell ref="L38:M38"/>
    <mergeCell ref="C42:L42"/>
    <mergeCell ref="P43:Q45"/>
    <mergeCell ref="P42:Q42"/>
    <mergeCell ref="M43:N43"/>
    <mergeCell ref="D4:I4"/>
    <mergeCell ref="D5:H5"/>
    <mergeCell ref="P56:Q56"/>
    <mergeCell ref="L39:M39"/>
    <mergeCell ref="J40:M40"/>
    <mergeCell ref="O40:P40"/>
    <mergeCell ref="M44:N44"/>
    <mergeCell ref="M45:N45"/>
    <mergeCell ref="M46:N46"/>
    <mergeCell ref="M47:N47"/>
    <mergeCell ref="M55:N55"/>
    <mergeCell ref="M56:N56"/>
    <mergeCell ref="P49:Q49"/>
    <mergeCell ref="M42:N42"/>
    <mergeCell ref="M41:N41"/>
    <mergeCell ref="P41:Q41"/>
    <mergeCell ref="M57:N57"/>
    <mergeCell ref="M48:N48"/>
    <mergeCell ref="M49:N49"/>
    <mergeCell ref="M50:N50"/>
    <mergeCell ref="H50:K50"/>
    <mergeCell ref="H49:K49"/>
    <mergeCell ref="G48:L48"/>
    <mergeCell ref="G53:J53"/>
    <mergeCell ref="I57:J57"/>
  </mergeCells>
  <dataValidations count="5">
    <dataValidation type="list" allowBlank="1" showInputMessage="1" showErrorMessage="1" sqref="F58:H58">
      <formula1>"Self with Disability,Self with sever Disability"</formula1>
    </dataValidation>
    <dataValidation type="list" allowBlank="1" showInputMessage="1" showErrorMessage="1" sqref="H49:K49">
      <formula1>"Select,Dependent person with disability,Dependent person with sever disability,"</formula1>
    </dataValidation>
    <dataValidation type="list" allowBlank="1" showInputMessage="1" showErrorMessage="1" sqref="G48:L48">
      <formula1>"Select,Self and Family,Prents,,Prents(senior citizen),Self and family including parents,Self and family including senior citizen parents"</formula1>
    </dataValidation>
    <dataValidation type="list" allowBlank="1" showInputMessage="1" showErrorMessage="1" sqref="H50:K50">
      <formula1>"Select,Self or dependent,Senior citizen Self or dependent,Super senior citizen Self or dependent"</formula1>
    </dataValidation>
    <dataValidation type="list" allowBlank="1" showInputMessage="1" showErrorMessage="1" sqref="I57:J57">
      <formula1>"Select,Citizen, Senior Citizen"</formula1>
    </dataValidation>
  </dataValidations>
  <pageMargins left="0.32" right="0.39" top="0.32" bottom="0.26" header="0.27" footer="0.24"/>
  <pageSetup paperSize="9" scale="61" orientation="portrait" r:id="rId1"/>
  <headerFooter>
    <oddFooter>&amp;LDownload from http://ksgheasso.blogspot.in&amp;Cmail : hucheshpk@gmail.com                   mob : 9844025347&amp;R&amp;D : &amp;T</oddFooter>
  </headerFooter>
  <ignoredErrors>
    <ignoredError sqref="P52 P54 H11:H20 K11:K20 R58 H9" formula="1"/>
    <ignoredError sqref="O4:O5 M57 M59" unlockedFormula="1"/>
    <ignoredError sqref="M42" unlockedFormula="1" emptyCellReference="1"/>
    <ignoredError sqref="P49:Q50 Q48 R60 C9 R53 S33 T23 T27" emptyCellReference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93"/>
  <sheetViews>
    <sheetView showGridLines="0" view="pageBreakPreview" zoomScale="120" zoomScaleSheetLayoutView="120" workbookViewId="0">
      <selection activeCell="B10" sqref="B10:D11"/>
    </sheetView>
  </sheetViews>
  <sheetFormatPr defaultRowHeight="18.75" customHeight="1"/>
  <cols>
    <col min="1" max="1" width="3.5703125" customWidth="1"/>
    <col min="2" max="2" width="2.7109375" customWidth="1"/>
    <col min="3" max="3" width="20.5703125" customWidth="1"/>
    <col min="4" max="4" width="23.42578125" style="6" customWidth="1"/>
    <col min="5" max="6" width="24.140625" customWidth="1"/>
    <col min="7" max="7" width="16" style="4" customWidth="1"/>
    <col min="8" max="8" width="25.5703125" style="4" customWidth="1"/>
    <col min="9" max="9" width="0" hidden="1" customWidth="1"/>
  </cols>
  <sheetData>
    <row r="1" spans="1:34" ht="18.75" customHeight="1">
      <c r="A1" s="348" t="s">
        <v>100</v>
      </c>
      <c r="B1" s="362" t="s">
        <v>17</v>
      </c>
      <c r="C1" s="363"/>
      <c r="D1" s="363"/>
      <c r="E1" s="363"/>
      <c r="F1" s="363"/>
      <c r="G1" s="363"/>
      <c r="H1" s="364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 ht="18.75" customHeight="1">
      <c r="A2" s="348"/>
      <c r="B2" s="359" t="s">
        <v>18</v>
      </c>
      <c r="C2" s="360"/>
      <c r="D2" s="360"/>
      <c r="E2" s="360"/>
      <c r="F2" s="360"/>
      <c r="G2" s="360"/>
      <c r="H2" s="361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</row>
    <row r="3" spans="1:34" ht="18.75" customHeight="1">
      <c r="A3" s="348"/>
      <c r="B3" s="359" t="s">
        <v>24</v>
      </c>
      <c r="C3" s="360"/>
      <c r="D3" s="360"/>
      <c r="E3" s="360"/>
      <c r="F3" s="360"/>
      <c r="G3" s="360"/>
      <c r="H3" s="361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</row>
    <row r="4" spans="1:34" ht="18.75" customHeight="1">
      <c r="A4" s="348"/>
      <c r="B4" s="358" t="s">
        <v>19</v>
      </c>
      <c r="C4" s="352"/>
      <c r="D4" s="352"/>
      <c r="E4" s="352" t="s">
        <v>20</v>
      </c>
      <c r="F4" s="352"/>
      <c r="G4" s="352"/>
      <c r="H4" s="353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</row>
    <row r="5" spans="1:34" ht="18.75" customHeight="1">
      <c r="A5" s="348"/>
      <c r="B5" s="367" t="str">
        <f>Details!C7</f>
        <v>NANJUSNDAIAH</v>
      </c>
      <c r="C5" s="368"/>
      <c r="D5" s="368"/>
      <c r="E5" s="369" t="str">
        <f>'Form 16'!C3</f>
        <v>ಶ್ರೀನಿವಾಸ ಹೆಚ್.ಟಿ.</v>
      </c>
      <c r="F5" s="369"/>
      <c r="G5" s="369"/>
      <c r="H5" s="370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</row>
    <row r="6" spans="1:34" ht="18.75" customHeight="1">
      <c r="A6" s="348"/>
      <c r="B6" s="380" t="str">
        <f>Details!C8</f>
        <v>SENIOR ASSISTANT TEACHER</v>
      </c>
      <c r="C6" s="381"/>
      <c r="D6" s="382"/>
      <c r="E6" s="15"/>
      <c r="F6" s="104" t="str">
        <f>'Form 16'!K3</f>
        <v>ದೈಹಿಕ ಶಿಕ್ಷಣ ಶಿಕ್ಷಕರು(ಗ್ರೇಡ್-1)</v>
      </c>
      <c r="G6" s="165" t="s">
        <v>153</v>
      </c>
      <c r="H6" s="105">
        <f>Details!F4</f>
        <v>1260321</v>
      </c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spans="1:34" ht="18.75" customHeight="1">
      <c r="A7" s="348"/>
      <c r="B7" s="379" t="str">
        <f>E7</f>
        <v>GJC(HS) KARIMUDDANAHALLI, HUNSUR TQ.</v>
      </c>
      <c r="C7" s="371"/>
      <c r="D7" s="371"/>
      <c r="E7" s="371" t="str">
        <f>'Form 16'!J5</f>
        <v>GJC(HS) KARIMUDDANAHALLI, HUNSUR TQ.</v>
      </c>
      <c r="F7" s="371"/>
      <c r="G7" s="371"/>
      <c r="H7" s="372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</row>
    <row r="8" spans="1:34" ht="18.75" customHeight="1">
      <c r="A8" s="348"/>
      <c r="B8" s="358" t="s">
        <v>13</v>
      </c>
      <c r="C8" s="352"/>
      <c r="D8" s="164" t="s">
        <v>21</v>
      </c>
      <c r="E8" s="164" t="s">
        <v>13</v>
      </c>
      <c r="F8" s="187" t="s">
        <v>238</v>
      </c>
      <c r="G8" s="164" t="s">
        <v>76</v>
      </c>
      <c r="H8" s="186" t="s">
        <v>75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</row>
    <row r="9" spans="1:34" ht="18.75" customHeight="1">
      <c r="A9" s="348"/>
      <c r="B9" s="377"/>
      <c r="C9" s="378"/>
      <c r="D9" s="164">
        <f>'Form 16'!O4</f>
        <v>0</v>
      </c>
      <c r="E9" s="164" t="str">
        <f>'Form 16'!O5</f>
        <v>AXTPS4023M</v>
      </c>
      <c r="F9" s="188">
        <f>'Form 16'!D5</f>
        <v>497378753229</v>
      </c>
      <c r="G9" s="183" t="str">
        <f>Details!C34</f>
        <v>SBIN0001730</v>
      </c>
      <c r="H9" s="185">
        <f>Details!C33</f>
        <v>35218478899</v>
      </c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</row>
    <row r="10" spans="1:34" ht="18.75" customHeight="1">
      <c r="A10" s="348"/>
      <c r="B10" s="388" t="s">
        <v>48</v>
      </c>
      <c r="C10" s="389"/>
      <c r="D10" s="389"/>
      <c r="E10" s="142" t="s">
        <v>77</v>
      </c>
      <c r="F10" s="352" t="s">
        <v>22</v>
      </c>
      <c r="G10" s="352"/>
      <c r="H10" s="20" t="s">
        <v>23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</row>
    <row r="11" spans="1:34" ht="28.5" customHeight="1">
      <c r="A11" s="348"/>
      <c r="B11" s="388"/>
      <c r="C11" s="389"/>
      <c r="D11" s="389"/>
      <c r="E11" s="46">
        <f>Details!C32</f>
        <v>43759</v>
      </c>
      <c r="F11" s="56" t="s">
        <v>210</v>
      </c>
      <c r="G11" s="57" t="s">
        <v>211</v>
      </c>
      <c r="H11" s="9" t="s">
        <v>212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</row>
    <row r="12" spans="1:34" ht="18.75" customHeight="1">
      <c r="A12" s="348"/>
      <c r="B12" s="385" t="s">
        <v>25</v>
      </c>
      <c r="C12" s="386"/>
      <c r="D12" s="386"/>
      <c r="E12" s="386"/>
      <c r="F12" s="386"/>
      <c r="G12" s="386"/>
      <c r="H12" s="387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</row>
    <row r="13" spans="1:34" ht="18.75" customHeight="1">
      <c r="A13" s="348"/>
      <c r="B13" s="177">
        <v>1</v>
      </c>
      <c r="C13" s="15" t="s">
        <v>219</v>
      </c>
      <c r="D13" s="161"/>
      <c r="E13" s="12"/>
      <c r="F13" s="12"/>
      <c r="G13" s="21"/>
      <c r="H13" s="131">
        <f>'Form 16'!C27</f>
        <v>754500</v>
      </c>
      <c r="I13" s="180">
        <f>'Form 16'!D27+'Form 16'!E27+'Form 16'!F27+'Form 16'!G27+'Form 16'!H27+'Form 16'!I27+'Form 16'!J27</f>
        <v>136795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</row>
    <row r="14" spans="1:34" ht="18.75" customHeight="1">
      <c r="A14" s="348"/>
      <c r="B14" s="177">
        <v>2</v>
      </c>
      <c r="C14" s="93" t="s">
        <v>214</v>
      </c>
      <c r="D14" s="176"/>
      <c r="E14" s="12"/>
      <c r="F14" s="12"/>
      <c r="G14" s="21"/>
      <c r="H14" s="131">
        <f>I13-I14</f>
        <v>136795</v>
      </c>
      <c r="I14" s="181" t="str">
        <f>'Form 16'!P59</f>
        <v>0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</row>
    <row r="15" spans="1:34" ht="18.75" customHeight="1">
      <c r="A15" s="348"/>
      <c r="B15" s="177">
        <v>3</v>
      </c>
      <c r="C15" s="15" t="s">
        <v>215</v>
      </c>
      <c r="D15" s="15"/>
      <c r="E15" s="15"/>
      <c r="F15" s="12"/>
      <c r="G15" s="21"/>
      <c r="H15" s="132">
        <f>'Form 16'!R63</f>
        <v>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</row>
    <row r="16" spans="1:34" ht="18.75" customHeight="1">
      <c r="A16" s="348"/>
      <c r="B16" s="177">
        <v>4</v>
      </c>
      <c r="C16" s="15" t="s">
        <v>232</v>
      </c>
      <c r="D16" s="161"/>
      <c r="E16" s="12"/>
      <c r="F16" s="12"/>
      <c r="G16" s="21"/>
      <c r="H16" s="133">
        <f>H13-H14-H15</f>
        <v>617705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</row>
    <row r="17" spans="1:34" ht="18.75" customHeight="1">
      <c r="A17" s="348"/>
      <c r="B17" s="240" t="s">
        <v>245</v>
      </c>
      <c r="C17" s="15" t="s">
        <v>244</v>
      </c>
      <c r="D17" s="239"/>
      <c r="E17" s="12"/>
      <c r="F17" s="12"/>
      <c r="G17" s="21"/>
      <c r="H17" s="133">
        <f>'Form 16'!R35</f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</row>
    <row r="18" spans="1:34" ht="18.75" customHeight="1">
      <c r="A18" s="348"/>
      <c r="B18" s="177">
        <v>5</v>
      </c>
      <c r="C18" s="119" t="s">
        <v>216</v>
      </c>
      <c r="D18" s="119"/>
      <c r="E18" s="12"/>
      <c r="F18" s="12"/>
      <c r="G18" s="21"/>
      <c r="H18" s="133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</row>
    <row r="19" spans="1:34" ht="18.75" customHeight="1">
      <c r="A19" s="348"/>
      <c r="B19" s="373" t="s">
        <v>30</v>
      </c>
      <c r="C19" s="374"/>
      <c r="D19" s="374"/>
      <c r="E19" s="12"/>
      <c r="F19" s="12"/>
      <c r="G19" s="21"/>
      <c r="H19" s="133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</row>
    <row r="20" spans="1:34" ht="18.75" customHeight="1">
      <c r="A20" s="348"/>
      <c r="B20" s="177">
        <v>6</v>
      </c>
      <c r="C20" s="119" t="s">
        <v>217</v>
      </c>
      <c r="D20" s="161"/>
      <c r="E20" s="12"/>
      <c r="F20" s="12"/>
      <c r="G20" s="21"/>
      <c r="H20" s="133">
        <f>H17+H18+H19</f>
        <v>0</v>
      </c>
      <c r="I20" s="39"/>
      <c r="J20" s="39"/>
      <c r="K20" s="39"/>
      <c r="L20" s="39"/>
      <c r="M20" s="147"/>
      <c r="N20" s="147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</row>
    <row r="21" spans="1:34" ht="18.75" customHeight="1">
      <c r="A21" s="348"/>
      <c r="B21" s="177">
        <v>7</v>
      </c>
      <c r="C21" s="119" t="s">
        <v>233</v>
      </c>
      <c r="D21" s="119"/>
      <c r="E21" s="12"/>
      <c r="F21" s="12"/>
      <c r="G21" s="21"/>
      <c r="H21" s="133">
        <f>H16-H20</f>
        <v>617705</v>
      </c>
      <c r="I21" s="39"/>
      <c r="J21" s="39"/>
      <c r="K21" s="39"/>
      <c r="L21" s="39"/>
      <c r="M21" s="147"/>
      <c r="N21" s="147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</row>
    <row r="22" spans="1:34" ht="18.75" customHeight="1">
      <c r="A22" s="348"/>
      <c r="B22" s="177">
        <v>8</v>
      </c>
      <c r="C22" s="119" t="s">
        <v>218</v>
      </c>
      <c r="D22" s="119"/>
      <c r="E22" s="12"/>
      <c r="F22" s="12"/>
      <c r="G22" s="21"/>
      <c r="H22" s="133"/>
      <c r="I22" s="39"/>
      <c r="J22" s="39"/>
      <c r="K22" s="39"/>
      <c r="L22" s="39"/>
      <c r="M22" s="147"/>
      <c r="N22" s="147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</row>
    <row r="23" spans="1:34" ht="18.75" customHeight="1">
      <c r="A23" s="348"/>
      <c r="B23" s="143"/>
      <c r="C23" s="27" t="s">
        <v>184</v>
      </c>
      <c r="D23" s="27"/>
      <c r="E23" s="27"/>
      <c r="F23" s="27"/>
      <c r="G23" s="27"/>
      <c r="H23" s="144">
        <f>'Form 16'!R42</f>
        <v>67584</v>
      </c>
      <c r="I23" s="27"/>
      <c r="J23" s="27"/>
      <c r="K23" s="27"/>
      <c r="L23" s="27"/>
      <c r="M23" s="365"/>
      <c r="N23" s="365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1:34" ht="18.75" customHeight="1">
      <c r="A24" s="348"/>
      <c r="B24" s="143"/>
      <c r="C24" s="116" t="s">
        <v>183</v>
      </c>
      <c r="D24" s="116"/>
      <c r="E24" s="22"/>
      <c r="F24" s="22"/>
      <c r="G24" s="22"/>
      <c r="H24" s="144">
        <f>'Form 16'!R43</f>
        <v>0</v>
      </c>
      <c r="I24" s="148"/>
      <c r="J24" s="49"/>
      <c r="K24" s="45"/>
      <c r="L24" s="45"/>
      <c r="M24" s="366"/>
      <c r="N24" s="366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</row>
    <row r="25" spans="1:34" ht="18.75" customHeight="1">
      <c r="A25" s="348"/>
      <c r="B25" s="143"/>
      <c r="C25" s="114" t="s">
        <v>159</v>
      </c>
      <c r="D25" s="114"/>
      <c r="E25" s="94"/>
      <c r="F25" s="94"/>
      <c r="G25" s="94"/>
      <c r="H25" s="144">
        <f>'Form 16'!R44</f>
        <v>0</v>
      </c>
      <c r="I25" s="149"/>
      <c r="J25" s="49"/>
      <c r="K25" s="45"/>
      <c r="L25" s="45"/>
      <c r="M25" s="366"/>
      <c r="N25" s="366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</row>
    <row r="26" spans="1:34" ht="18.75" customHeight="1">
      <c r="A26" s="348"/>
      <c r="B26" s="143"/>
      <c r="C26" s="114" t="s">
        <v>160</v>
      </c>
      <c r="D26" s="114"/>
      <c r="E26" s="94"/>
      <c r="F26" s="94"/>
      <c r="G26" s="94"/>
      <c r="H26" s="144">
        <f>'Form 16'!R45</f>
        <v>0</v>
      </c>
      <c r="I26" s="149"/>
      <c r="J26" s="49"/>
      <c r="K26" s="45"/>
      <c r="L26" s="45"/>
      <c r="M26" s="365"/>
      <c r="N26" s="365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 ht="18.75" customHeight="1">
      <c r="A27" s="348"/>
      <c r="B27" s="143"/>
      <c r="C27" s="114" t="s">
        <v>161</v>
      </c>
      <c r="D27" s="117"/>
      <c r="E27" s="31"/>
      <c r="F27" s="31"/>
      <c r="G27" s="31"/>
      <c r="H27" s="144">
        <f>'Form 16'!R46</f>
        <v>0</v>
      </c>
      <c r="I27" s="31"/>
      <c r="J27" s="108"/>
      <c r="K27" s="45"/>
      <c r="L27" s="45"/>
      <c r="M27" s="366"/>
      <c r="N27" s="366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 ht="18.75" customHeight="1">
      <c r="A28" s="348"/>
      <c r="B28" s="143"/>
      <c r="C28" s="114" t="s">
        <v>162</v>
      </c>
      <c r="D28" s="115"/>
      <c r="E28" s="27"/>
      <c r="F28" s="27"/>
      <c r="G28" s="27"/>
      <c r="H28" s="144">
        <f>'Form 16'!R47</f>
        <v>0</v>
      </c>
      <c r="I28" s="27"/>
      <c r="J28" s="49"/>
      <c r="K28" s="45"/>
      <c r="L28" s="45"/>
      <c r="M28" s="366"/>
      <c r="N28" s="366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1:34" ht="18.75" customHeight="1">
      <c r="A29" s="348"/>
      <c r="B29" s="143"/>
      <c r="C29" s="114" t="s">
        <v>171</v>
      </c>
      <c r="D29" s="117"/>
      <c r="E29" s="31"/>
      <c r="F29" s="31"/>
      <c r="G29" s="139"/>
      <c r="H29" s="144">
        <f>'Form 16'!R48</f>
        <v>0</v>
      </c>
      <c r="I29" s="150"/>
      <c r="J29" s="150"/>
      <c r="K29" s="150"/>
      <c r="L29" s="45"/>
      <c r="M29" s="366"/>
      <c r="N29" s="366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</row>
    <row r="30" spans="1:34" ht="18.75" customHeight="1">
      <c r="A30" s="348"/>
      <c r="B30" s="143"/>
      <c r="C30" s="114" t="s">
        <v>163</v>
      </c>
      <c r="D30" s="116"/>
      <c r="E30" s="22"/>
      <c r="F30" s="22"/>
      <c r="G30" s="22"/>
      <c r="H30" s="144">
        <f>'Form 16'!R49</f>
        <v>0</v>
      </c>
      <c r="I30" s="347"/>
      <c r="J30" s="347"/>
      <c r="K30" s="347"/>
      <c r="L30" s="151"/>
      <c r="M30" s="366"/>
      <c r="N30" s="366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</row>
    <row r="31" spans="1:34" ht="18.75" customHeight="1">
      <c r="A31" s="348"/>
      <c r="B31" s="143"/>
      <c r="C31" s="116" t="s">
        <v>173</v>
      </c>
      <c r="D31" s="116"/>
      <c r="E31" s="22"/>
      <c r="F31" s="15"/>
      <c r="G31" s="15"/>
      <c r="H31" s="144">
        <f>'Form 16'!R50</f>
        <v>0</v>
      </c>
      <c r="I31" s="347"/>
      <c r="J31" s="347"/>
      <c r="K31" s="347"/>
      <c r="L31" s="45"/>
      <c r="M31" s="366"/>
      <c r="N31" s="366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</row>
    <row r="32" spans="1:34" ht="18.75" customHeight="1">
      <c r="A32" s="348"/>
      <c r="B32" s="143"/>
      <c r="C32" s="114" t="s">
        <v>164</v>
      </c>
      <c r="D32" s="114"/>
      <c r="E32" s="94"/>
      <c r="F32" s="15"/>
      <c r="G32" s="15"/>
      <c r="H32" s="144">
        <f>'Form 16'!R51</f>
        <v>0</v>
      </c>
      <c r="I32" s="45"/>
      <c r="J32" s="152"/>
      <c r="K32" s="45"/>
      <c r="L32" s="45"/>
      <c r="M32" s="366"/>
      <c r="N32" s="366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</row>
    <row r="33" spans="1:34" ht="18.75" hidden="1" customHeight="1">
      <c r="A33" s="348"/>
      <c r="B33" s="143"/>
      <c r="C33" s="114" t="s">
        <v>165</v>
      </c>
      <c r="D33" s="114"/>
      <c r="E33" s="94"/>
      <c r="F33" s="15"/>
      <c r="G33" s="15"/>
      <c r="H33" s="144" t="str">
        <f>'Form 16'!R52</f>
        <v>0</v>
      </c>
      <c r="I33" s="45"/>
      <c r="J33" s="152"/>
      <c r="K33" s="45"/>
      <c r="L33" s="45"/>
      <c r="M33" s="366"/>
      <c r="N33" s="366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</row>
    <row r="34" spans="1:34" ht="18.75" customHeight="1">
      <c r="A34" s="348"/>
      <c r="B34" s="143"/>
      <c r="C34" s="114" t="s">
        <v>166</v>
      </c>
      <c r="D34" s="114"/>
      <c r="E34" s="94"/>
      <c r="F34" s="15"/>
      <c r="G34" s="15"/>
      <c r="H34" s="144">
        <f>'Form 16'!R53</f>
        <v>0</v>
      </c>
      <c r="I34" s="45"/>
      <c r="J34" s="152"/>
      <c r="K34" s="45"/>
      <c r="L34" s="45"/>
      <c r="M34" s="366"/>
      <c r="N34" s="366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</row>
    <row r="35" spans="1:34" ht="18.75" hidden="1" customHeight="1">
      <c r="A35" s="348"/>
      <c r="B35" s="143"/>
      <c r="C35" s="114" t="s">
        <v>167</v>
      </c>
      <c r="D35" s="114"/>
      <c r="E35" s="94"/>
      <c r="F35" s="15"/>
      <c r="G35" s="15"/>
      <c r="H35" s="144" t="str">
        <f>'Form 16'!R54</f>
        <v>0</v>
      </c>
      <c r="I35" s="45"/>
      <c r="J35" s="49"/>
      <c r="K35" s="45"/>
      <c r="L35" s="45"/>
      <c r="M35" s="366"/>
      <c r="N35" s="366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</row>
    <row r="36" spans="1:34" ht="18.75" customHeight="1">
      <c r="A36" s="348"/>
      <c r="B36" s="143"/>
      <c r="C36" s="114" t="s">
        <v>168</v>
      </c>
      <c r="D36" s="114"/>
      <c r="E36" s="94"/>
      <c r="F36" s="15"/>
      <c r="G36" s="15"/>
      <c r="H36" s="144">
        <f>'Form 16'!R55</f>
        <v>0</v>
      </c>
      <c r="I36" s="45"/>
      <c r="J36" s="49"/>
      <c r="K36" s="45"/>
      <c r="L36" s="45"/>
      <c r="M36" s="366"/>
      <c r="N36" s="366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</row>
    <row r="37" spans="1:34" ht="18.75" customHeight="1">
      <c r="A37" s="348"/>
      <c r="B37" s="143"/>
      <c r="C37" s="114" t="s">
        <v>169</v>
      </c>
      <c r="D37" s="114"/>
      <c r="E37" s="94"/>
      <c r="F37" s="15"/>
      <c r="G37" s="15"/>
      <c r="H37" s="144">
        <f>'Form 16'!R56</f>
        <v>0</v>
      </c>
      <c r="I37" s="45"/>
      <c r="J37" s="49"/>
      <c r="K37" s="45"/>
      <c r="L37" s="45"/>
      <c r="M37" s="366"/>
      <c r="N37" s="366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</row>
    <row r="38" spans="1:34" ht="18.75" customHeight="1">
      <c r="A38" s="348"/>
      <c r="B38" s="143"/>
      <c r="C38" s="114" t="s">
        <v>170</v>
      </c>
      <c r="D38" s="114"/>
      <c r="E38" s="94"/>
      <c r="F38" s="15"/>
      <c r="G38" s="15"/>
      <c r="H38" s="144">
        <f>'Form 16'!R57</f>
        <v>0</v>
      </c>
      <c r="I38" s="151"/>
      <c r="J38" s="49"/>
      <c r="K38" s="45"/>
      <c r="L38" s="45"/>
      <c r="M38" s="365"/>
      <c r="N38" s="365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</row>
    <row r="39" spans="1:34" ht="18.75" customHeight="1">
      <c r="A39" s="348"/>
      <c r="B39" s="143"/>
      <c r="C39" s="119" t="s">
        <v>172</v>
      </c>
      <c r="D39" s="114"/>
      <c r="E39" s="94"/>
      <c r="F39" s="139"/>
      <c r="G39" s="139"/>
      <c r="H39" s="144">
        <f>'Form 16'!R58</f>
        <v>0</v>
      </c>
      <c r="I39" s="151"/>
      <c r="J39" s="49"/>
      <c r="K39" s="45"/>
      <c r="L39" s="45"/>
      <c r="M39" s="365"/>
      <c r="N39" s="365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</row>
    <row r="40" spans="1:34" ht="18.75" customHeight="1">
      <c r="A40" s="348"/>
      <c r="B40" s="143"/>
      <c r="C40" s="119" t="s">
        <v>187</v>
      </c>
      <c r="D40" s="114"/>
      <c r="E40" s="94"/>
      <c r="F40" s="110"/>
      <c r="G40" s="110"/>
      <c r="H40" s="144" t="str">
        <f>'Form 16'!R59</f>
        <v>0</v>
      </c>
      <c r="I40" s="151"/>
      <c r="J40" s="49"/>
      <c r="K40" s="45"/>
      <c r="L40" s="45"/>
      <c r="M40" s="365"/>
      <c r="N40" s="365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</row>
    <row r="41" spans="1:34" ht="18.75" customHeight="1">
      <c r="A41" s="348"/>
      <c r="B41" s="383" t="s">
        <v>220</v>
      </c>
      <c r="C41" s="384"/>
      <c r="D41" s="384"/>
      <c r="E41" s="384"/>
      <c r="F41" s="12"/>
      <c r="G41" s="138"/>
      <c r="H41" s="134">
        <f>H23+H24+H25+H26+H27+H28+H29+H30+H31+H32+H33+H34+H35+H36+H37+H38+H39+H40</f>
        <v>67584</v>
      </c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</row>
    <row r="42" spans="1:34" ht="18.75" customHeight="1">
      <c r="A42" s="348"/>
      <c r="B42" s="383" t="s">
        <v>221</v>
      </c>
      <c r="C42" s="384"/>
      <c r="D42" s="384"/>
      <c r="E42" s="15"/>
      <c r="F42" s="70"/>
      <c r="G42" s="137"/>
      <c r="H42" s="135">
        <f>'Form 16'!R61</f>
        <v>771311</v>
      </c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</row>
    <row r="43" spans="1:34" ht="18.75" customHeight="1">
      <c r="A43" s="348"/>
      <c r="B43" s="383" t="s">
        <v>222</v>
      </c>
      <c r="C43" s="384"/>
      <c r="D43" s="384"/>
      <c r="E43" s="15"/>
      <c r="F43" s="12"/>
      <c r="G43" s="137"/>
      <c r="H43" s="135">
        <f>'Form 16'!R62</f>
        <v>66762</v>
      </c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</row>
    <row r="44" spans="1:34" ht="18.75" customHeight="1">
      <c r="A44" s="348"/>
      <c r="B44" s="383" t="s">
        <v>223</v>
      </c>
      <c r="C44" s="384"/>
      <c r="D44" s="384"/>
      <c r="E44" s="384"/>
      <c r="F44" s="12"/>
      <c r="G44" s="21"/>
      <c r="H44" s="135">
        <f>'Form 16'!R63</f>
        <v>0</v>
      </c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</row>
    <row r="45" spans="1:34" ht="18.75" customHeight="1">
      <c r="A45" s="348"/>
      <c r="B45" s="383" t="s">
        <v>224</v>
      </c>
      <c r="C45" s="384"/>
      <c r="D45" s="178"/>
      <c r="E45" s="15"/>
      <c r="F45" s="12"/>
      <c r="G45" s="21"/>
      <c r="H45" s="131">
        <f>'Form 16'!R64</f>
        <v>66762</v>
      </c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</row>
    <row r="46" spans="1:34" ht="18.75" customHeight="1">
      <c r="A46" s="348"/>
      <c r="B46" s="182" t="s">
        <v>225</v>
      </c>
      <c r="C46" s="93"/>
      <c r="D46" s="178"/>
      <c r="E46" s="15"/>
      <c r="F46" s="12"/>
      <c r="G46" s="21"/>
      <c r="H46" s="131">
        <f>'Form 16'!R65</f>
        <v>0</v>
      </c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</row>
    <row r="47" spans="1:34" ht="18.75" customHeight="1">
      <c r="A47" s="348"/>
      <c r="B47" s="182" t="s">
        <v>226</v>
      </c>
      <c r="C47" s="93"/>
      <c r="D47" s="178"/>
      <c r="E47" s="15"/>
      <c r="F47" s="12"/>
      <c r="G47" s="21"/>
      <c r="H47" s="131">
        <f>'Form 16'!R66</f>
        <v>66762</v>
      </c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</row>
    <row r="48" spans="1:34" ht="18.75" customHeight="1">
      <c r="A48" s="348"/>
      <c r="B48" s="383" t="s">
        <v>227</v>
      </c>
      <c r="C48" s="384"/>
      <c r="D48" s="178"/>
      <c r="E48" s="15"/>
      <c r="F48" s="12"/>
      <c r="G48" s="21"/>
      <c r="H48" s="135">
        <f>'Form 16'!R67</f>
        <v>2670</v>
      </c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</row>
    <row r="49" spans="1:34" ht="18.75" customHeight="1">
      <c r="A49" s="348"/>
      <c r="B49" s="383" t="s">
        <v>228</v>
      </c>
      <c r="C49" s="384"/>
      <c r="D49" s="384"/>
      <c r="E49" s="384"/>
      <c r="F49" s="12"/>
      <c r="G49" s="21"/>
      <c r="H49" s="135">
        <f>'Form 16'!R68</f>
        <v>0</v>
      </c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</row>
    <row r="50" spans="1:34" ht="18.75" customHeight="1">
      <c r="A50" s="348"/>
      <c r="B50" s="383" t="s">
        <v>229</v>
      </c>
      <c r="C50" s="384"/>
      <c r="D50" s="178"/>
      <c r="E50" s="15"/>
      <c r="F50" s="12"/>
      <c r="G50" s="21"/>
      <c r="H50" s="136">
        <f>'Form 16'!R69</f>
        <v>69432</v>
      </c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</row>
    <row r="51" spans="1:34" ht="18.75" customHeight="1">
      <c r="A51" s="348"/>
      <c r="B51" s="182" t="s">
        <v>230</v>
      </c>
      <c r="C51" s="93"/>
      <c r="D51" s="161"/>
      <c r="E51" s="12"/>
      <c r="F51" s="12"/>
      <c r="G51" s="21"/>
      <c r="H51" s="136">
        <f>'Form 16'!R70</f>
        <v>0</v>
      </c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</row>
    <row r="52" spans="1:34" ht="18.75" customHeight="1">
      <c r="A52" s="348"/>
      <c r="B52" s="182" t="s">
        <v>231</v>
      </c>
      <c r="C52" s="93"/>
      <c r="D52" s="161"/>
      <c r="E52" s="12"/>
      <c r="F52" s="12"/>
      <c r="G52" s="21"/>
      <c r="H52" s="136">
        <f>'Form 16'!R71</f>
        <v>69432</v>
      </c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</row>
    <row r="53" spans="1:34" ht="18.75" customHeight="1">
      <c r="A53" s="348"/>
      <c r="B53" s="143"/>
      <c r="C53" s="356" t="s">
        <v>26</v>
      </c>
      <c r="D53" s="356"/>
      <c r="E53" s="356"/>
      <c r="F53" s="356"/>
      <c r="G53" s="356"/>
      <c r="H53" s="357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</row>
    <row r="54" spans="1:34" ht="21" customHeight="1">
      <c r="A54" s="348"/>
      <c r="B54" s="143"/>
      <c r="C54" s="140" t="s">
        <v>45</v>
      </c>
      <c r="D54" s="164" t="s">
        <v>27</v>
      </c>
      <c r="E54" s="164" t="s">
        <v>28</v>
      </c>
      <c r="F54" s="352" t="s">
        <v>29</v>
      </c>
      <c r="G54" s="352"/>
      <c r="H54" s="353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</row>
    <row r="55" spans="1:34" ht="21.75" customHeight="1">
      <c r="A55" s="348"/>
      <c r="B55" s="143"/>
      <c r="C55" s="141">
        <v>1</v>
      </c>
      <c r="D55" s="103">
        <f>Details!I12+Details!I13+Details!I14</f>
        <v>0</v>
      </c>
      <c r="E55" s="24"/>
      <c r="F55" s="354"/>
      <c r="G55" s="354"/>
      <c r="H55" s="355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</row>
    <row r="56" spans="1:34" ht="21.75" customHeight="1">
      <c r="A56" s="348"/>
      <c r="B56" s="143"/>
      <c r="C56" s="141">
        <v>2</v>
      </c>
      <c r="D56" s="103">
        <f>Details!I15+Details!I16+Details!I17</f>
        <v>0</v>
      </c>
      <c r="E56" s="24"/>
      <c r="F56" s="354"/>
      <c r="G56" s="354"/>
      <c r="H56" s="355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</row>
    <row r="57" spans="1:34" ht="22.5" customHeight="1">
      <c r="A57" s="348"/>
      <c r="B57" s="143"/>
      <c r="C57" s="141">
        <v>3</v>
      </c>
      <c r="D57" s="103">
        <f>Details!I18+Details!I19+Details!I20</f>
        <v>0</v>
      </c>
      <c r="E57" s="24"/>
      <c r="F57" s="354"/>
      <c r="G57" s="354"/>
      <c r="H57" s="355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</row>
    <row r="58" spans="1:34" ht="22.5" customHeight="1">
      <c r="A58" s="348"/>
      <c r="B58" s="143"/>
      <c r="C58" s="141">
        <v>4</v>
      </c>
      <c r="D58" s="103">
        <f>Details!I21+Details!I22+Details!I23</f>
        <v>0</v>
      </c>
      <c r="E58" s="24"/>
      <c r="F58" s="354"/>
      <c r="G58" s="354"/>
      <c r="H58" s="355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</row>
    <row r="59" spans="1:34" ht="22.5" customHeight="1">
      <c r="A59" s="348"/>
      <c r="B59" s="375" t="s">
        <v>188</v>
      </c>
      <c r="C59" s="376"/>
      <c r="D59" s="64">
        <f>H50</f>
        <v>69432</v>
      </c>
      <c r="E59" s="65" t="e">
        <f>SpellNumber(D59)</f>
        <v>#VALUE!</v>
      </c>
      <c r="F59" s="166"/>
      <c r="G59" s="166"/>
      <c r="H59" s="167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</row>
    <row r="60" spans="1:34" ht="21" customHeight="1">
      <c r="A60" s="348"/>
      <c r="B60" s="143"/>
      <c r="C60" s="350" t="s">
        <v>88</v>
      </c>
      <c r="D60" s="350"/>
      <c r="E60" s="350"/>
      <c r="F60" s="350"/>
      <c r="G60" s="350"/>
      <c r="H60" s="351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</row>
    <row r="61" spans="1:34" ht="21" customHeight="1">
      <c r="A61" s="348"/>
      <c r="B61" s="143"/>
      <c r="C61" s="12"/>
      <c r="D61" s="161"/>
      <c r="E61" s="12"/>
      <c r="F61" s="12"/>
      <c r="G61" s="25"/>
      <c r="H61" s="26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</row>
    <row r="62" spans="1:34" ht="23.25" customHeight="1">
      <c r="A62" s="348"/>
      <c r="B62" s="143"/>
      <c r="C62" s="15"/>
      <c r="D62" s="161"/>
      <c r="E62" s="12"/>
      <c r="F62" s="12"/>
      <c r="G62" s="25"/>
      <c r="H62" s="26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</row>
    <row r="63" spans="1:34" ht="21" customHeight="1">
      <c r="A63" s="348"/>
      <c r="B63" s="143"/>
      <c r="C63" s="163" t="s">
        <v>81</v>
      </c>
      <c r="D63" s="72"/>
      <c r="E63" s="291" t="s">
        <v>83</v>
      </c>
      <c r="F63" s="291"/>
      <c r="G63" s="291"/>
      <c r="H63" s="34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</row>
    <row r="64" spans="1:34" ht="14.25" customHeight="1" thickBot="1">
      <c r="A64" s="348"/>
      <c r="B64" s="145"/>
      <c r="C64" s="146" t="s">
        <v>98</v>
      </c>
      <c r="D64" s="73">
        <f ca="1">TODAY()</f>
        <v>43851</v>
      </c>
      <c r="E64" s="50"/>
      <c r="F64" s="102" t="str">
        <f>B5</f>
        <v>NANJUSNDAIAH</v>
      </c>
      <c r="G64" s="52" t="str">
        <f>B6</f>
        <v>SENIOR ASSISTANT TEACHER</v>
      </c>
      <c r="H64" s="51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</row>
    <row r="65" spans="1:34" ht="18.75" customHeight="1">
      <c r="A65" s="81"/>
      <c r="B65" s="81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</row>
    <row r="66" spans="1:34" ht="18.75" customHeight="1">
      <c r="A66" s="81"/>
      <c r="B66" s="81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</row>
    <row r="67" spans="1:34" ht="18.75" customHeight="1">
      <c r="A67" s="81"/>
      <c r="B67" s="81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</row>
    <row r="68" spans="1:34" ht="18.75" customHeight="1">
      <c r="A68" s="81"/>
      <c r="B68" s="81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</row>
    <row r="69" spans="1:34" ht="18.75" customHeight="1">
      <c r="A69" s="81"/>
      <c r="B69" s="81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</row>
    <row r="70" spans="1:34" ht="18.75" customHeight="1">
      <c r="A70" s="81"/>
      <c r="B70" s="81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</row>
    <row r="71" spans="1:34" ht="18.75" customHeight="1"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</row>
    <row r="72" spans="1:34" ht="18.75" customHeight="1"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</row>
    <row r="73" spans="1:34" ht="18.75" customHeight="1"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</row>
    <row r="74" spans="1:34" ht="18.75" customHeight="1"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</row>
    <row r="75" spans="1:34" ht="18.75" customHeight="1"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</row>
    <row r="76" spans="1:34" ht="18.75" customHeight="1"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</row>
    <row r="77" spans="1:34" ht="18.75" customHeight="1"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</row>
    <row r="78" spans="1:34" ht="18.75" customHeight="1"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</row>
    <row r="79" spans="1:34" ht="18.75" customHeight="1"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</row>
    <row r="80" spans="1:34" ht="18.75" customHeight="1"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</row>
    <row r="81" spans="9:34" ht="18.75" customHeight="1"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</row>
    <row r="82" spans="9:34" ht="18.75" customHeight="1"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</row>
    <row r="83" spans="9:34" ht="18.75" customHeight="1"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</row>
    <row r="84" spans="9:34" ht="18.75" customHeight="1"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</row>
    <row r="85" spans="9:34" ht="18.75" customHeight="1"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</row>
    <row r="86" spans="9:34" ht="18.75" customHeight="1"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</row>
    <row r="87" spans="9:34" ht="18.75" customHeight="1"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</row>
    <row r="88" spans="9:34" ht="18.75" customHeight="1"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</row>
    <row r="89" spans="9:34" ht="18.75" customHeight="1"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</row>
    <row r="90" spans="9:34" ht="18.75" customHeight="1"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</row>
    <row r="91" spans="9:34" ht="18.75" customHeight="1"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</row>
    <row r="92" spans="9:34" ht="18.75" customHeight="1"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</row>
    <row r="93" spans="9:34" ht="18.75" customHeight="1"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</row>
  </sheetData>
  <sheetProtection password="EC00" sheet="1" objects="1" scenarios="1" selectLockedCells="1"/>
  <mergeCells count="54">
    <mergeCell ref="B59:C59"/>
    <mergeCell ref="B9:C9"/>
    <mergeCell ref="B8:C8"/>
    <mergeCell ref="B7:D7"/>
    <mergeCell ref="B6:D6"/>
    <mergeCell ref="B48:C48"/>
    <mergeCell ref="B49:E49"/>
    <mergeCell ref="B50:C50"/>
    <mergeCell ref="B12:H12"/>
    <mergeCell ref="B10:D11"/>
    <mergeCell ref="B41:E41"/>
    <mergeCell ref="B42:D42"/>
    <mergeCell ref="B43:D43"/>
    <mergeCell ref="B44:E44"/>
    <mergeCell ref="B45:C45"/>
    <mergeCell ref="M40:N40"/>
    <mergeCell ref="B19:D19"/>
    <mergeCell ref="M36:N36"/>
    <mergeCell ref="M37:N37"/>
    <mergeCell ref="M38:N38"/>
    <mergeCell ref="M39:N39"/>
    <mergeCell ref="M27:N27"/>
    <mergeCell ref="M34:N34"/>
    <mergeCell ref="M35:N35"/>
    <mergeCell ref="M28:N28"/>
    <mergeCell ref="M29:N29"/>
    <mergeCell ref="M31:N31"/>
    <mergeCell ref="M32:N32"/>
    <mergeCell ref="M33:N33"/>
    <mergeCell ref="I30:K30"/>
    <mergeCell ref="M30:N30"/>
    <mergeCell ref="M23:N23"/>
    <mergeCell ref="M24:N24"/>
    <mergeCell ref="M25:N25"/>
    <mergeCell ref="M26:N26"/>
    <mergeCell ref="B5:D5"/>
    <mergeCell ref="E5:H5"/>
    <mergeCell ref="E7:H7"/>
    <mergeCell ref="I31:K31"/>
    <mergeCell ref="A1:A64"/>
    <mergeCell ref="E63:H63"/>
    <mergeCell ref="C60:H60"/>
    <mergeCell ref="F54:H54"/>
    <mergeCell ref="F55:H55"/>
    <mergeCell ref="F56:H56"/>
    <mergeCell ref="F57:H57"/>
    <mergeCell ref="F58:H58"/>
    <mergeCell ref="C53:H53"/>
    <mergeCell ref="F10:G10"/>
    <mergeCell ref="E4:H4"/>
    <mergeCell ref="B4:D4"/>
    <mergeCell ref="B3:H3"/>
    <mergeCell ref="B1:H1"/>
    <mergeCell ref="B2:H2"/>
  </mergeCells>
  <dataValidations count="3">
    <dataValidation type="list" allowBlank="1" showInputMessage="1" showErrorMessage="1" sqref="G39">
      <formula1>"Select,Self with Disability,Self with sever Disability"</formula1>
    </dataValidation>
    <dataValidation type="list" allowBlank="1" showInputMessage="1" showErrorMessage="1" sqref="I30:K30">
      <formula1>"Dependent person with disability,Dependent person with sever disability,"</formula1>
    </dataValidation>
    <dataValidation type="list" allowBlank="1" showInputMessage="1" showErrorMessage="1" sqref="I31:K31">
      <formula1>"Self or dependent,Senior citizen Self or dependent,Super senior citizen Self or dependent"</formula1>
    </dataValidation>
  </dataValidations>
  <pageMargins left="0.27" right="0.23622047244094491" top="0.35433070866141736" bottom="0.35433070866141736" header="0.33" footer="0.31496062992125984"/>
  <pageSetup paperSize="9" scale="67" orientation="portrait" r:id="rId1"/>
  <headerFooter>
    <oddFooter>&amp;R&amp;D : &amp;T</oddFooter>
  </headerFooter>
  <ignoredErrors>
    <ignoredError sqref="H6 H20:H26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Instructions</vt:lpstr>
      <vt:lpstr>Details</vt:lpstr>
      <vt:lpstr>Form 16</vt:lpstr>
      <vt:lpstr>Form 16 A..</vt:lpstr>
      <vt:lpstr>Details!Print_Area</vt:lpstr>
      <vt:lpstr>'Form 16'!Print_Area</vt:lpstr>
      <vt:lpstr>'Form 16 A..'!Print_Area</vt:lpstr>
    </vt:vector>
  </TitlesOfParts>
  <Company>Xbox-Hq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acer</cp:lastModifiedBy>
  <cp:lastPrinted>2019-11-11T13:34:44Z</cp:lastPrinted>
  <dcterms:created xsi:type="dcterms:W3CDTF">2009-05-30T12:08:40Z</dcterms:created>
  <dcterms:modified xsi:type="dcterms:W3CDTF">2020-01-21T22:56:01Z</dcterms:modified>
</cp:coreProperties>
</file>